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25" windowWidth="20730" windowHeight="9195" tabRatio="880"/>
  </bookViews>
  <sheets>
    <sheet name="2017 ბიუჯეტი" sheetId="14" r:id="rId1"/>
    <sheet name="Sheet1" sheetId="15" r:id="rId2"/>
  </sheets>
  <calcPr calcId="145621"/>
</workbook>
</file>

<file path=xl/calcChain.xml><?xml version="1.0" encoding="utf-8"?>
<calcChain xmlns="http://schemas.openxmlformats.org/spreadsheetml/2006/main">
  <c r="N23" i="14" l="1"/>
  <c r="N127" i="14" l="1"/>
  <c r="N92" i="14"/>
  <c r="N27" i="14"/>
  <c r="H111" i="14"/>
  <c r="K97" i="14"/>
  <c r="J97" i="14"/>
  <c r="H84" i="14"/>
  <c r="H83" i="14"/>
  <c r="I73" i="14"/>
  <c r="K73" i="14"/>
  <c r="K60" i="14"/>
  <c r="I60" i="14"/>
  <c r="K56" i="14"/>
  <c r="H56" i="14"/>
  <c r="K52" i="14"/>
  <c r="H52" i="14"/>
  <c r="H33" i="14"/>
  <c r="M27" i="14"/>
  <c r="K25" i="14"/>
  <c r="H25" i="14"/>
  <c r="M17" i="14"/>
  <c r="K18" i="14"/>
  <c r="I17" i="14"/>
  <c r="M14" i="14"/>
  <c r="M5" i="14"/>
  <c r="K5" i="14"/>
  <c r="J5" i="14"/>
  <c r="H5" i="14"/>
  <c r="M111" i="14" l="1"/>
  <c r="M110" i="14"/>
  <c r="M98" i="14"/>
  <c r="M99" i="14"/>
  <c r="M101" i="14"/>
  <c r="M102" i="14"/>
  <c r="M103" i="14"/>
  <c r="M97" i="14"/>
  <c r="M90" i="14"/>
  <c r="M85" i="14"/>
  <c r="M86" i="14"/>
  <c r="M74" i="14"/>
  <c r="M75" i="14"/>
  <c r="M76" i="14"/>
  <c r="M73" i="14"/>
  <c r="M68" i="14"/>
  <c r="M69" i="14"/>
  <c r="M67" i="14"/>
  <c r="M61" i="14"/>
  <c r="M56" i="14"/>
  <c r="M52" i="14"/>
  <c r="M34" i="14" l="1"/>
  <c r="M35" i="14"/>
  <c r="M36" i="14"/>
  <c r="M37" i="14"/>
  <c r="M33" i="14"/>
  <c r="L25" i="14"/>
  <c r="M25" i="14" s="1"/>
  <c r="M10" i="14"/>
  <c r="J74" i="14" l="1"/>
  <c r="J75" i="14"/>
  <c r="J76" i="14"/>
  <c r="J77" i="14"/>
  <c r="J78" i="14"/>
  <c r="J73" i="14"/>
  <c r="C100" i="14"/>
  <c r="M100" i="14" s="1"/>
  <c r="M104" i="14" s="1"/>
  <c r="C84" i="14"/>
  <c r="M84" i="14" s="1"/>
  <c r="C83" i="14"/>
  <c r="M83" i="14" s="1"/>
  <c r="C78" i="14"/>
  <c r="M78" i="14" s="1"/>
  <c r="M87" i="14" l="1"/>
  <c r="C6" i="14"/>
  <c r="M6" i="14" s="1"/>
  <c r="C5" i="14"/>
  <c r="K37" i="14" l="1"/>
  <c r="C112" i="14" l="1"/>
  <c r="M112" i="14" s="1"/>
  <c r="M113" i="14" s="1"/>
  <c r="K110" i="14"/>
  <c r="M70" i="14" l="1"/>
  <c r="M38" i="14"/>
  <c r="M47" i="14" s="1"/>
  <c r="J120" i="14"/>
  <c r="J121" i="14"/>
  <c r="J119" i="14"/>
  <c r="J111" i="14"/>
  <c r="J112" i="14"/>
  <c r="J110" i="14"/>
  <c r="J98" i="14"/>
  <c r="J99" i="14"/>
  <c r="J100" i="14"/>
  <c r="J101" i="14"/>
  <c r="J102" i="14"/>
  <c r="J103" i="14"/>
  <c r="J90" i="14"/>
  <c r="J84" i="14"/>
  <c r="J85" i="14"/>
  <c r="J86" i="14"/>
  <c r="J83" i="14"/>
  <c r="J68" i="14"/>
  <c r="J69" i="14"/>
  <c r="J67" i="14"/>
  <c r="J61" i="14"/>
  <c r="J62" i="14"/>
  <c r="J63" i="14"/>
  <c r="J60" i="14"/>
  <c r="J56" i="14"/>
  <c r="J52" i="14"/>
  <c r="J45" i="14"/>
  <c r="J41" i="14"/>
  <c r="J34" i="14"/>
  <c r="J35" i="14"/>
  <c r="J36" i="14"/>
  <c r="J37" i="14"/>
  <c r="J33" i="14"/>
  <c r="J25" i="14"/>
  <c r="J18" i="14"/>
  <c r="J19" i="14"/>
  <c r="J20" i="14"/>
  <c r="J17" i="14"/>
  <c r="J6" i="14"/>
  <c r="J7" i="14"/>
  <c r="J8" i="14"/>
  <c r="J9" i="14"/>
  <c r="J10" i="14"/>
  <c r="J11" i="14"/>
  <c r="J12" i="14"/>
  <c r="H120" i="14"/>
  <c r="I120" i="14" s="1"/>
  <c r="K120" i="14" s="1"/>
  <c r="H121" i="14"/>
  <c r="I121" i="14" s="1"/>
  <c r="K121" i="14" s="1"/>
  <c r="H119" i="14"/>
  <c r="I119" i="14" s="1"/>
  <c r="K119" i="14" s="1"/>
  <c r="I111" i="14"/>
  <c r="K111" i="14" s="1"/>
  <c r="H112" i="14"/>
  <c r="I112" i="14" s="1"/>
  <c r="H110" i="14"/>
  <c r="I110" i="14" s="1"/>
  <c r="H98" i="14"/>
  <c r="I98" i="14" s="1"/>
  <c r="K98" i="14" s="1"/>
  <c r="H99" i="14"/>
  <c r="I99" i="14" s="1"/>
  <c r="K99" i="14" s="1"/>
  <c r="H100" i="14"/>
  <c r="I100" i="14" s="1"/>
  <c r="K100" i="14" s="1"/>
  <c r="H101" i="14"/>
  <c r="I101" i="14" s="1"/>
  <c r="K101" i="14" s="1"/>
  <c r="H102" i="14"/>
  <c r="I102" i="14" s="1"/>
  <c r="K102" i="14" s="1"/>
  <c r="H103" i="14"/>
  <c r="I103" i="14" s="1"/>
  <c r="K103" i="14" s="1"/>
  <c r="H97" i="14"/>
  <c r="I97" i="14" s="1"/>
  <c r="H90" i="14"/>
  <c r="I90" i="14" s="1"/>
  <c r="K90" i="14" s="1"/>
  <c r="I84" i="14"/>
  <c r="K84" i="14" s="1"/>
  <c r="H85" i="14"/>
  <c r="I85" i="14" s="1"/>
  <c r="K85" i="14" s="1"/>
  <c r="H86" i="14"/>
  <c r="I86" i="14" s="1"/>
  <c r="K86" i="14" s="1"/>
  <c r="I83" i="14"/>
  <c r="K83" i="14" s="1"/>
  <c r="H74" i="14"/>
  <c r="I74" i="14" s="1"/>
  <c r="K74" i="14" s="1"/>
  <c r="H75" i="14"/>
  <c r="I75" i="14" s="1"/>
  <c r="K75" i="14" s="1"/>
  <c r="H76" i="14"/>
  <c r="I76" i="14" s="1"/>
  <c r="K76" i="14" s="1"/>
  <c r="H77" i="14"/>
  <c r="I77" i="14" s="1"/>
  <c r="K77" i="14" s="1"/>
  <c r="H78" i="14"/>
  <c r="I78" i="14" s="1"/>
  <c r="K78" i="14" s="1"/>
  <c r="H73" i="14"/>
  <c r="H68" i="14"/>
  <c r="I68" i="14" s="1"/>
  <c r="K68" i="14" s="1"/>
  <c r="H69" i="14"/>
  <c r="I69" i="14" s="1"/>
  <c r="K69" i="14" s="1"/>
  <c r="H67" i="14"/>
  <c r="I67" i="14" s="1"/>
  <c r="K67" i="14" s="1"/>
  <c r="H61" i="14"/>
  <c r="I61" i="14" s="1"/>
  <c r="K61" i="14" s="1"/>
  <c r="H62" i="14"/>
  <c r="I62" i="14" s="1"/>
  <c r="K62" i="14" s="1"/>
  <c r="H63" i="14"/>
  <c r="I63" i="14" s="1"/>
  <c r="K63" i="14" s="1"/>
  <c r="H60" i="14"/>
  <c r="I56" i="14"/>
  <c r="I52" i="14"/>
  <c r="H45" i="14"/>
  <c r="I45" i="14" s="1"/>
  <c r="H41" i="14"/>
  <c r="I41" i="14" s="1"/>
  <c r="H34" i="14"/>
  <c r="I34" i="14" s="1"/>
  <c r="H35" i="14"/>
  <c r="I35" i="14" s="1"/>
  <c r="H36" i="14"/>
  <c r="I36" i="14" s="1"/>
  <c r="H37" i="14"/>
  <c r="I37" i="14" s="1"/>
  <c r="I33" i="14"/>
  <c r="I25" i="14"/>
  <c r="H18" i="14"/>
  <c r="I18" i="14" s="1"/>
  <c r="H19" i="14"/>
  <c r="I19" i="14" s="1"/>
  <c r="K19" i="14" s="1"/>
  <c r="H20" i="14"/>
  <c r="I20" i="14" s="1"/>
  <c r="H17" i="14"/>
  <c r="H6" i="14"/>
  <c r="I6" i="14" s="1"/>
  <c r="K6" i="14" s="1"/>
  <c r="H7" i="14"/>
  <c r="I7" i="14" s="1"/>
  <c r="K7" i="14" s="1"/>
  <c r="H8" i="14"/>
  <c r="I8" i="14" s="1"/>
  <c r="K8" i="14" s="1"/>
  <c r="H9" i="14"/>
  <c r="I9" i="14" s="1"/>
  <c r="K9" i="14" s="1"/>
  <c r="H10" i="14"/>
  <c r="I10" i="14" s="1"/>
  <c r="H11" i="14"/>
  <c r="I11" i="14" s="1"/>
  <c r="H12" i="14"/>
  <c r="I12" i="14" s="1"/>
  <c r="I5" i="14"/>
  <c r="C121" i="14" l="1"/>
  <c r="M121" i="14" s="1"/>
  <c r="C77" i="14"/>
  <c r="M77" i="14" s="1"/>
  <c r="M80" i="14" s="1"/>
  <c r="M92" i="14" s="1"/>
  <c r="C20" i="14"/>
  <c r="M20" i="14" s="1"/>
  <c r="C19" i="14"/>
  <c r="M19" i="14" s="1"/>
  <c r="C18" i="14"/>
  <c r="M18" i="14" s="1"/>
  <c r="C17" i="14"/>
  <c r="C9" i="14"/>
  <c r="M9" i="14" s="1"/>
  <c r="C8" i="14"/>
  <c r="M8" i="14" s="1"/>
  <c r="C7" i="14"/>
  <c r="M7" i="14" s="1"/>
  <c r="M22" i="14" l="1"/>
  <c r="M127" i="14" l="1"/>
</calcChain>
</file>

<file path=xl/comments1.xml><?xml version="1.0" encoding="utf-8"?>
<comments xmlns="http://schemas.openxmlformats.org/spreadsheetml/2006/main">
  <authors>
    <author>Irina Gobejishvili</author>
    <author>Ekaterine Adamia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2015 წლის ფასი 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2015 წლის ფასი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მარაგის არსებობის გამო არ წარმოადგენს საჭიროებას 2017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600 უსასყიდლო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გავითვალისიწინებთ ლევემირის და ნოვორაპიდის შესყიდვისას გადმოგვცენ საჩუქრად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400 უსასყიდლო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გავითვალისიწინებთ ლევემირის და ნოვორაპიდის შესყიდვისას გადმოგვცენ საჩუქრად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ნაყიდია 2016 წელს, ამ ხარჯვით გვეყოფა 16 თვე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ნაყიდია 2016 წელს, ამ ხარჯვით გვეყოფა 15 თვე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გავითვალისწინე 500 ცალი აფხაზეთისთვის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11.10.2016 ბაზრის მოკვლევის ფასი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ვადა გასდის 31.01.2017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პირველ ეტაპზე ვყიდულობთ 19100, თუ ხარჯვა შენარჩუნდება 2016წ სექტემბრის მიხედვით (3008 აბი) მაშინ საყიდელი იქნება მეორე ნაწილიც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11.10.2016 ბაზრის მოკვლევის ფასი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11.10.2016 ბაზრის მოკვლევის ფასი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რეგიონების მიხდევით ნაშთი 01.10.2016 შეადგენს 5495 აბს, რაც არის 20 თვის მარაგი ამ ხარჯვის მიხედვით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რეალური მარაგი სეადგენს 17 თვეს 01.01.2017სთვის, ნაშთები არ ჩანს ვინაიდან გადანაწილებულია რეგიონებში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რეგიონებშია გადანაწილებული მარაგი და საკმარისი ექნება 2017 წელს</t>
        </r>
      </text>
    </comment>
    <comment ref="L5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წონა რომ მოემატოთ, ხარჯვა 14-ის ნაცვლად გახდება 16 (მინიმუმ) ჯობია გავითვალისწინოთ მეტობით შესყიდვა დეფიციტის თავიდან აცილების მიზნით.</t>
        </r>
      </text>
    </comment>
    <comment ref="L6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მოვითხოვთ გადმოგვცენ საჩუქრად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სე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3200 ფლაკონი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381 ფლ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692</t>
        </r>
      </text>
    </comment>
    <comment ref="L73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6200ფლ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სე</t>
        </r>
      </text>
    </comment>
    <comment ref="D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14400 ფლაკონი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1195 ფლაკონი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2450</t>
        </r>
      </text>
    </comment>
    <comment ref="G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4000</t>
        </r>
      </text>
    </comment>
    <comment ref="L74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15100ფლ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სე</t>
        </r>
      </text>
    </comment>
    <comment ref="D7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440 ფლაკონი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47 ფლაკონი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25</t>
        </r>
      </text>
    </comment>
    <comment ref="L7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821ფლ</t>
        </r>
      </text>
    </comment>
    <comment ref="C7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სე</t>
        </r>
      </text>
    </comment>
    <comment ref="D7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320 ფლაკონი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39 ფლაკონი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172</t>
        </r>
      </text>
    </comment>
    <comment ref="L76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შეთანხმებულია ფემოფილიის ასოციაციასთან</t>
        </r>
      </text>
    </comment>
    <comment ref="C77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ფლაკონი</t>
        </r>
      </text>
    </comment>
    <comment ref="D77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ფლაკონი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ფლაკონი</t>
        </r>
      </text>
    </comment>
    <comment ref="L77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დაემატა 2 პაციენტი და არაპროგნოზირებადი, არასტანდარტული ხარჯვის გამო (გამოიყენება ძლიერი სისხლდენების დროს)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 სე</t>
        </r>
      </text>
    </comment>
    <comment ref="D7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400 ფლაკონი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29.2 ფლაკონი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95</t>
        </r>
      </text>
    </comment>
    <comment ref="L7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დაემატა 2 პაციენტი და არაპროგნოზირებადი, არასტანდარტული ხარჯვის გამო (გამოიყენება ძლიერი სისხლდენების დროს)</t>
        </r>
      </text>
    </comment>
    <comment ref="H8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50მგ რახან გათავდა 1 იანვრისთვის ნაშთი დამრჩება32 ,რაც სავარაუდოდ არის 2.6 თვის მარაგი</t>
        </r>
      </text>
    </comment>
    <comment ref="I85" authorId="1">
      <text>
        <r>
          <rPr>
            <b/>
            <sz val="9"/>
            <color indexed="81"/>
            <rFont val="Tahoma"/>
            <family val="2"/>
          </rPr>
          <t>Ekaterine Adamia:რეალური მარაგი იქნება 2,6 თვე, რადგან ამ ეტაპზე იხარჯება 50მგ-იანის ნაცვლად</t>
        </r>
      </text>
    </comment>
    <comment ref="L85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გამომდინარე იქიდან, რომ 5.10.16 დან 50მგ ნაცვლად ვხმარობ 25 მგიანს.და მარაგი 8 თის ნაცვლად იქნება 2.6 თვე</t>
        </r>
      </text>
    </comment>
    <comment ref="K9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01.10.2017 გასდის მოქმედების ვადა</t>
        </r>
      </text>
    </comment>
    <comment ref="L9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ვყიდულობთ 6 თვის მარაგს</t>
        </r>
      </text>
    </comment>
    <comment ref="L98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ნაშთი არ დაგვრჩება ვინაიდან გავხარჟავთ  100 მგიანის ნაცვლად. გაანგარიშდა: საშ ხარჯვა *15 დამრგვალებული</t>
        </r>
      </text>
    </comment>
    <comment ref="K10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რახან არ ვიცი საშ ხარჯვის მაქსიმუმი. ჯობია ვიყიდო ხარჯვის მიხედვით სრულად. პაც ერთვებიან თანდათანობით საშ ხარჯვ*15 დამრგვალებული</t>
        </r>
      </text>
    </comment>
    <comment ref="K110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კლინიკებშია დარიგებული, ხარჯვაც მაგათზეა დამოკიდებული.იდოს ბიუჯეტში ფული</t>
        </r>
      </text>
    </comment>
    <comment ref="D11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კოლოფი (1*30)</t>
        </r>
      </text>
    </comment>
    <comment ref="E11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გაურკვეველია ჯერ ხარჯვა</t>
        </r>
      </text>
    </comment>
    <comment ref="K112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ახალი კომპონენტია ხარჯვა არ ვიიცით.იყოს გათვალისწინებული  ბიუჯეტში</t>
        </r>
      </text>
    </comment>
    <comment ref="C12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გრამი</t>
        </r>
      </text>
    </comment>
    <comment ref="E12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გრამი</t>
        </r>
      </text>
    </comment>
    <comment ref="F12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გრმი,535 ბოთლი</t>
        </r>
      </text>
    </comment>
    <comment ref="G12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გრამი (1406 ბოთლი)</t>
        </r>
      </text>
    </comment>
    <comment ref="L121" author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მზარდია ხარჯვა ბოლო თვეების მიხედვით.დარჩეს შარშანდელი რაოდენობა</t>
        </r>
      </text>
    </comment>
  </commentList>
</comments>
</file>

<file path=xl/sharedStrings.xml><?xml version="1.0" encoding="utf-8"?>
<sst xmlns="http://schemas.openxmlformats.org/spreadsheetml/2006/main" count="292" uniqueCount="99">
  <si>
    <t>N</t>
  </si>
  <si>
    <t>მედიკამენტის დასახელება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</si>
  <si>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</si>
  <si>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</si>
  <si>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>გლუკაგენი ჰიპოკიტი 1მგ</t>
  </si>
  <si>
    <t>ლევემირი პენფილი 100სე/მლ 3მლ საინექციო ხსნარი კარტრიჯი N5</t>
  </si>
  <si>
    <t xml:space="preserve">ნოვო პენი (შპრიც-კალმისტარი) </t>
  </si>
  <si>
    <t>ნოვორაპიდი პენფილი 100სე/მლ 3მლ საინექციო ხსნარი კარტრიჯი N5</t>
  </si>
  <si>
    <t>ნოვოფაინი 30G 0.3X8მმ N100 (H)</t>
  </si>
  <si>
    <t>ნოვოფაინი 31G 0.25X6მმ N100 (H)</t>
  </si>
  <si>
    <t>აპიდრა–SOLO 100ერთ/მლ 3მლ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</si>
  <si>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</si>
  <si>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</si>
  <si>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</si>
  <si>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 xml:space="preserve">დესმოპრესინი 0,01% 5მლ </t>
  </si>
  <si>
    <t>დოლქი, მორფინის სულფატი 20მგ აბი</t>
  </si>
  <si>
    <t>მორფინის სულფატი 15მგ აბი</t>
  </si>
  <si>
    <t>მორფინის სულფატი 30მგ. აბი</t>
  </si>
  <si>
    <t>მორფინის სულფატი 60მგ აბი</t>
  </si>
  <si>
    <t>მორფინის სულფატი 100 მგ აბი</t>
  </si>
  <si>
    <t xml:space="preserve"> დასახელება</t>
  </si>
  <si>
    <t>ნარკოტიკული საშუალების გაცემის დამადასტურებელი ცნობა</t>
  </si>
  <si>
    <t>რეცეპტი ფორმა N1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</si>
  <si>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</si>
  <si>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ოქტაგამა 2,5გ/50მლ საინფუზიო ხსნარი</t>
  </si>
  <si>
    <t>კრეზამი 25000 სე აბი</t>
  </si>
  <si>
    <t>საიზენი - კარტრიჯის შესანახი ცივი კონტეინერი, ჩანთა</t>
  </si>
  <si>
    <t>საიზენი 8მგ კარტრიჯი (ფხვნილი+გამხსნელი)</t>
  </si>
  <si>
    <t>საიზენის აუტოინჯექტორი - საინექციო კალამი</t>
  </si>
  <si>
    <t>საიზენის შესაყვანი შპრიც-კალამის ნემსი</t>
  </si>
  <si>
    <t xml:space="preserve">აფენილაკი 40 </t>
  </si>
  <si>
    <t>აფენილაკი 15</t>
  </si>
  <si>
    <t>IX ფაქტორი  ს.ე.</t>
  </si>
  <si>
    <t>VIII ფაქტორი ს.ე.</t>
  </si>
  <si>
    <t>ანტიჰემოფილური პროთრომბინ კომპლექსი ს.ე.</t>
  </si>
  <si>
    <t>XIII ფაქტორი  ს.ე.</t>
  </si>
  <si>
    <t>VII ფაქტორი გრ</t>
  </si>
  <si>
    <t>ედნოკი N.  2მგ/0.5მგ სუბლინგვალური ტაბლეტი</t>
  </si>
  <si>
    <t xml:space="preserve">ედნოკი N.  8მგ/2.0მგ სუბლინგვალური ტაბლეტი </t>
  </si>
  <si>
    <t>მეთადონის ჰიდროქლორიდი  გრამი</t>
  </si>
  <si>
    <t>მიფორტიკი 180მგ აბი</t>
  </si>
  <si>
    <t>ფოლის მჟავა 400მკგ (0.4მგ) აბი</t>
  </si>
  <si>
    <t>სორბიფერ დურულესი 100მგ აბი</t>
  </si>
  <si>
    <t>ეტანერცეპტი 25მგ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</si>
  <si>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</si>
  <si>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</si>
  <si>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მიკოფენოლატის მოფეტილი USP 250მგ</t>
  </si>
  <si>
    <t>აქტივირებული პროთრომბინ კომპ. კონცენტრატი ს.ე. ფეიბა</t>
  </si>
  <si>
    <t>სულ</t>
  </si>
  <si>
    <t>დიაბეტის მართვა სულ</t>
  </si>
  <si>
    <t>ექსჯადი 500მგ</t>
  </si>
  <si>
    <t xml:space="preserve">ადპორტი 0.5მგ კაფს.  </t>
  </si>
  <si>
    <t xml:space="preserve">ადპორტი 1მგ კაფს.  </t>
  </si>
  <si>
    <t>ეტანერცეპტი 50მგ</t>
  </si>
  <si>
    <t>VIII ფაქტორი ს.ე. ალტერნატიული</t>
  </si>
  <si>
    <t>მორფინის ჰიდროქლორიდი საინექციო ხსნარი ამპულა 1მლ 1%</t>
  </si>
  <si>
    <t>ტოცილიზუბამი/აქტემრა 80მგ</t>
  </si>
  <si>
    <t>ტოცილიზუმაბი/აქტემრა 200 მგ</t>
  </si>
  <si>
    <t>ციკლოსპორინი100მგ რბილი კაფსულა</t>
  </si>
  <si>
    <t>ციკლოსპორინი 25მგ რბილი კაფსულა</t>
  </si>
  <si>
    <t>ციკლოსპორინი 50მგ რბილი კაფსულა</t>
  </si>
  <si>
    <t>დიაბეტის მართვა (პროგრამული კოდი 35 03 03 02)</t>
  </si>
  <si>
    <t xml:space="preserve">შაქრიანი დიაბეტით დაავადებულ ბავშვთა და მოზარდთა მედიკამენტებით უზრუნველყოფა </t>
  </si>
  <si>
    <t>ერთეულის ფასი 2015-2016 ლარი</t>
  </si>
  <si>
    <t>საშუალო ხარჯვა თვეში</t>
  </si>
  <si>
    <t>02..08.16-ნაშთი</t>
  </si>
  <si>
    <t>ინკურაბელურ პაციენტთა პალიატიური მზრუნველობა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</si>
  <si>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</si>
  <si>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ნარკოტიკული საშუალებების გაცემის დამადასატურებელი ცნობა</t>
  </si>
  <si>
    <t>რეცეპტის ბლანკი ფორმა N1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</si>
  <si>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</si>
  <si>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</si>
  <si>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</si>
  <si>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</si>
  <si>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ნუტრიგენი 70/პამ1 პამ2 პამ3</t>
  </si>
  <si>
    <t>ჰემოფილიით დაავადებულ ბავშვთა და მოზრდილთა მედიკამენტებით უზრუნველყოფის კომპონენტი</t>
  </si>
  <si>
    <t>გვჭირდბა იმ შემთხვევაში თუ ალერგიაა.წელს შეიცვალა წამალის დასახელება და აღარ დაგვჭირდა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</si>
  <si>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</si>
  <si>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</si>
  <si>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დიალიზი და თირკმლის ტრანსპლანტაცია</t>
  </si>
  <si>
    <t>ორგანოგადანერგილთა იმუნოსუპრესიული მედიკამენტებით უზრუნველყოფის კომპონენტი</t>
  </si>
  <si>
    <t>დედათა და ბავშვთა ჯანმრთელობა</t>
  </si>
  <si>
    <t>ორსულთა მედიკამენტებით უზრუნველყოფა</t>
  </si>
  <si>
    <t>მიკროელემენტები</t>
  </si>
  <si>
    <t>ნარკომანიით დაავადებულ პირთა მკურნალობა</t>
  </si>
  <si>
    <t>ჩამანაცვლებელი ნარკოტიკის შესყიდვა</t>
  </si>
  <si>
    <t>საშუალო ხარჯვა  (9 თვე) თვეში</t>
  </si>
  <si>
    <t>03.10.16-ნაშთი</t>
  </si>
  <si>
    <t>შესყიდული რაოდენობა 2016</t>
  </si>
  <si>
    <t>2016 წლის ბოლომდე მისაღები მედიკამენტებსი რაოდენობა</t>
  </si>
  <si>
    <t>სავარაუდო ნაშთი 01.01.2017 წლისთვის</t>
  </si>
  <si>
    <t>01.01.2017 მარაგი თვე</t>
  </si>
  <si>
    <t>2017 საჭიროება 12 თვე საშ.ხარჯვის მიხედვით</t>
  </si>
  <si>
    <t>შესასყიდი რაოდენობა, 2018 წლის მარტის ჩათვლით</t>
  </si>
  <si>
    <t>ბიუჯეტი 2017</t>
  </si>
  <si>
    <t xml:space="preserve">ინკურაბელური სულ: </t>
  </si>
  <si>
    <t>შესასყიდი რაოდენობა, 2018 დამრგვალებული</t>
  </si>
  <si>
    <t>არ წარმოადგენს საჭიროებას 2017 წელს</t>
  </si>
  <si>
    <t>ბიუჯეტი 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</si>
</sst>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0.000"/>
    <numFmt numFmtId="167" formatCode="_-* #,##0.00_р_._-;\-* #,##0.00_р_._-;_-* &quot;-&quot;??_р_._-;_-@_-"/>
    <numFmt numFmtId="168" formatCode="_(* #,##0.00000_);_(* \(#,##0.00000\);_(* &quot;-&quot;??_);_(@_)"/>
    <numFmt numFmtId="169" formatCode="_(* #,##0.0000_);_(* \(#,##0.0000\);_(* &quot;-&quot;??_);_(@_)"/>
    <numFmt numFmtId="170" formatCode="_(* #,##0_);_(* \(#,##0\);_(* &quot;-&quot;??_);_(@_)"/>
    <numFmt numFmtId="171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GEO DUMBADZ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rgb="FF000000"/>
      <name val="Trebuchet MS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7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/>
    <xf numFmtId="1" fontId="7" fillId="0" borderId="6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/>
    </xf>
    <xf numFmtId="2" fontId="7" fillId="12" borderId="1" xfId="2" applyNumberFormat="1" applyFont="1" applyFill="1" applyBorder="1" applyAlignment="1">
      <alignment horizontal="center" vertical="center" wrapText="1"/>
    </xf>
    <xf numFmtId="2" fontId="8" fillId="0" borderId="5" xfId="2" applyNumberFormat="1" applyFont="1" applyFill="1" applyBorder="1" applyAlignment="1">
      <alignment horizontal="center"/>
    </xf>
    <xf numFmtId="2" fontId="7" fillId="0" borderId="4" xfId="2" applyNumberFormat="1" applyFont="1" applyFill="1" applyBorder="1" applyAlignment="1">
      <alignment horizontal="center"/>
    </xf>
    <xf numFmtId="1" fontId="7" fillId="0" borderId="7" xfId="2" applyNumberFormat="1" applyFont="1" applyFill="1" applyBorder="1" applyAlignment="1">
      <alignment horizontal="center" vertical="center"/>
    </xf>
    <xf numFmtId="2" fontId="8" fillId="0" borderId="5" xfId="2" applyNumberFormat="1" applyFont="1" applyFill="1" applyBorder="1" applyAlignment="1">
      <alignment horizontal="right" wrapText="1"/>
    </xf>
    <xf numFmtId="2" fontId="7" fillId="0" borderId="4" xfId="2" applyNumberFormat="1" applyFont="1" applyFill="1" applyBorder="1" applyAlignment="1">
      <alignment wrapText="1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vertical="center" wrapText="1"/>
    </xf>
    <xf numFmtId="2" fontId="7" fillId="10" borderId="1" xfId="2" applyNumberFormat="1" applyFont="1" applyFill="1" applyBorder="1" applyAlignment="1">
      <alignment wrapText="1"/>
    </xf>
    <xf numFmtId="2" fontId="7" fillId="0" borderId="1" xfId="2" applyNumberFormat="1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/>
    </xf>
    <xf numFmtId="2" fontId="7" fillId="10" borderId="1" xfId="3" applyNumberFormat="1" applyFont="1" applyFill="1" applyBorder="1" applyAlignment="1">
      <alignment wrapText="1"/>
    </xf>
    <xf numFmtId="1" fontId="7" fillId="0" borderId="1" xfId="4" applyNumberFormat="1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wrapText="1"/>
    </xf>
    <xf numFmtId="2" fontId="7" fillId="10" borderId="1" xfId="7" applyNumberFormat="1" applyFont="1" applyFill="1" applyBorder="1" applyAlignment="1">
      <alignment wrapText="1"/>
    </xf>
    <xf numFmtId="2" fontId="7" fillId="10" borderId="1" xfId="5" applyNumberFormat="1" applyFont="1" applyFill="1" applyBorder="1" applyAlignment="1">
      <alignment wrapText="1"/>
    </xf>
    <xf numFmtId="2" fontId="7" fillId="10" borderId="1" xfId="2" applyNumberFormat="1" applyFont="1" applyFill="1" applyBorder="1" applyAlignment="1">
      <alignment horizontal="left" wrapText="1"/>
    </xf>
    <xf numFmtId="164" fontId="7" fillId="10" borderId="1" xfId="1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>
      <alignment wrapText="1"/>
    </xf>
    <xf numFmtId="0" fontId="0" fillId="10" borderId="0" xfId="0" applyFill="1"/>
    <xf numFmtId="1" fontId="7" fillId="0" borderId="1" xfId="2" applyNumberFormat="1" applyFont="1" applyFill="1" applyBorder="1" applyAlignment="1">
      <alignment horizontal="center" vertical="center"/>
    </xf>
    <xf numFmtId="1" fontId="7" fillId="10" borderId="1" xfId="2" applyNumberFormat="1" applyFont="1" applyFill="1" applyBorder="1" applyAlignment="1">
      <alignment horizontal="center" vertical="center" wrapText="1"/>
    </xf>
    <xf numFmtId="2" fontId="7" fillId="10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64" fontId="0" fillId="0" borderId="0" xfId="1" applyFont="1"/>
    <xf numFmtId="164" fontId="13" fillId="0" borderId="1" xfId="1" applyFont="1" applyBorder="1"/>
    <xf numFmtId="164" fontId="0" fillId="0" borderId="1" xfId="1" applyFont="1" applyBorder="1"/>
    <xf numFmtId="164" fontId="0" fillId="10" borderId="1" xfId="1" applyFont="1" applyFill="1" applyBorder="1"/>
    <xf numFmtId="166" fontId="7" fillId="0" borderId="1" xfId="1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right" wrapText="1"/>
    </xf>
    <xf numFmtId="2" fontId="7" fillId="10" borderId="1" xfId="2" applyNumberFormat="1" applyFont="1" applyFill="1" applyBorder="1" applyAlignment="1">
      <alignment horizontal="right" wrapText="1"/>
    </xf>
    <xf numFmtId="164" fontId="7" fillId="10" borderId="1" xfId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0" fillId="10" borderId="1" xfId="0" applyFill="1" applyBorder="1"/>
    <xf numFmtId="2" fontId="7" fillId="10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10" borderId="1" xfId="0" applyFill="1" applyBorder="1" applyAlignment="1">
      <alignment wrapText="1"/>
    </xf>
    <xf numFmtId="164" fontId="0" fillId="0" borderId="0" xfId="0" applyNumberFormat="1"/>
    <xf numFmtId="170" fontId="0" fillId="0" borderId="0" xfId="0" applyNumberFormat="1"/>
    <xf numFmtId="164" fontId="13" fillId="0" borderId="0" xfId="1" applyFont="1" applyBorder="1"/>
    <xf numFmtId="2" fontId="7" fillId="0" borderId="10" xfId="2" applyNumberFormat="1" applyFont="1" applyFill="1" applyBorder="1" applyAlignment="1">
      <alignment wrapText="1"/>
    </xf>
    <xf numFmtId="2" fontId="7" fillId="0" borderId="10" xfId="2" applyNumberFormat="1" applyFont="1" applyFill="1" applyBorder="1" applyAlignment="1">
      <alignment horizontal="center"/>
    </xf>
    <xf numFmtId="164" fontId="7" fillId="10" borderId="1" xfId="1" applyNumberFormat="1" applyFont="1" applyFill="1" applyBorder="1" applyAlignment="1">
      <alignment horizontal="center" vertical="center" wrapText="1"/>
    </xf>
    <xf numFmtId="170" fontId="7" fillId="10" borderId="1" xfId="1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1" fontId="7" fillId="13" borderId="1" xfId="2" applyNumberFormat="1" applyFont="1" applyFill="1" applyBorder="1" applyAlignment="1">
      <alignment horizontal="center" vertical="center"/>
    </xf>
    <xf numFmtId="2" fontId="7" fillId="13" borderId="1" xfId="2" applyNumberFormat="1" applyFont="1" applyFill="1" applyBorder="1" applyAlignment="1">
      <alignment wrapText="1"/>
    </xf>
    <xf numFmtId="0" fontId="0" fillId="0" borderId="0" xfId="0" applyFill="1"/>
    <xf numFmtId="0" fontId="0" fillId="15" borderId="1" xfId="0" applyFill="1" applyBorder="1"/>
    <xf numFmtId="0" fontId="9" fillId="15" borderId="1" xfId="0" applyFont="1" applyFill="1" applyBorder="1" applyAlignment="1">
      <alignment horizontal="right" wrapText="1"/>
    </xf>
    <xf numFmtId="170" fontId="7" fillId="15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2" fontId="8" fillId="0" borderId="4" xfId="2" applyNumberFormat="1" applyFont="1" applyFill="1" applyBorder="1" applyAlignment="1">
      <alignment horizontal="right" wrapText="1"/>
    </xf>
    <xf numFmtId="2" fontId="8" fillId="0" borderId="4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 vertical="center"/>
    </xf>
    <xf numFmtId="2" fontId="8" fillId="0" borderId="12" xfId="2" applyNumberFormat="1" applyFont="1" applyFill="1" applyBorder="1" applyAlignment="1">
      <alignment horizontal="center"/>
    </xf>
    <xf numFmtId="1" fontId="7" fillId="16" borderId="6" xfId="2" applyNumberFormat="1" applyFont="1" applyFill="1" applyBorder="1" applyAlignment="1">
      <alignment horizontal="center" vertical="center"/>
    </xf>
    <xf numFmtId="2" fontId="8" fillId="16" borderId="12" xfId="2" applyNumberFormat="1" applyFont="1" applyFill="1" applyBorder="1" applyAlignment="1">
      <alignment horizontal="right" wrapText="1"/>
    </xf>
    <xf numFmtId="2" fontId="8" fillId="16" borderId="12" xfId="2" applyNumberFormat="1" applyFont="1" applyFill="1" applyBorder="1" applyAlignment="1">
      <alignment horizontal="center"/>
    </xf>
    <xf numFmtId="1" fontId="7" fillId="16" borderId="7" xfId="2" applyNumberFormat="1" applyFont="1" applyFill="1" applyBorder="1" applyAlignment="1">
      <alignment horizontal="center" vertical="center"/>
    </xf>
    <xf numFmtId="2" fontId="7" fillId="16" borderId="10" xfId="2" applyNumberFormat="1" applyFont="1" applyFill="1" applyBorder="1" applyAlignment="1">
      <alignment wrapText="1"/>
    </xf>
    <xf numFmtId="2" fontId="7" fillId="16" borderId="10" xfId="2" applyNumberFormat="1" applyFont="1" applyFill="1" applyBorder="1" applyAlignment="1">
      <alignment horizontal="center"/>
    </xf>
    <xf numFmtId="1" fontId="7" fillId="16" borderId="1" xfId="2" applyNumberFormat="1" applyFont="1" applyFill="1" applyBorder="1" applyAlignment="1">
      <alignment horizontal="center" vertical="center" wrapText="1"/>
    </xf>
    <xf numFmtId="2" fontId="8" fillId="16" borderId="4" xfId="2" applyNumberFormat="1" applyFont="1" applyFill="1" applyBorder="1" applyAlignment="1">
      <alignment horizontal="right" wrapText="1"/>
    </xf>
    <xf numFmtId="2" fontId="7" fillId="16" borderId="4" xfId="2" applyNumberFormat="1" applyFont="1" applyFill="1" applyBorder="1" applyAlignment="1">
      <alignment horizontal="center"/>
    </xf>
    <xf numFmtId="0" fontId="0" fillId="16" borderId="0" xfId="0" applyFill="1"/>
    <xf numFmtId="0" fontId="0" fillId="16" borderId="0" xfId="0" applyFill="1" applyAlignment="1">
      <alignment wrapText="1"/>
    </xf>
    <xf numFmtId="0" fontId="13" fillId="0" borderId="0" xfId="0" applyFont="1" applyAlignment="1">
      <alignment horizontal="center" wrapText="1"/>
    </xf>
    <xf numFmtId="17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9" fontId="7" fillId="10" borderId="1" xfId="1" applyNumberFormat="1" applyFont="1" applyFill="1" applyBorder="1" applyAlignment="1">
      <alignment horizontal="center" vertical="center" wrapText="1"/>
    </xf>
    <xf numFmtId="168" fontId="7" fillId="10" borderId="1" xfId="1" applyNumberFormat="1" applyFont="1" applyFill="1" applyBorder="1" applyAlignment="1">
      <alignment horizontal="center" vertical="center" wrapText="1"/>
    </xf>
    <xf numFmtId="166" fontId="7" fillId="10" borderId="1" xfId="0" applyNumberFormat="1" applyFont="1" applyFill="1" applyBorder="1" applyAlignment="1">
      <alignment horizontal="center"/>
    </xf>
    <xf numFmtId="164" fontId="7" fillId="10" borderId="1" xfId="1" applyFont="1" applyFill="1" applyBorder="1" applyAlignment="1">
      <alignment horizontal="center"/>
    </xf>
    <xf numFmtId="164" fontId="7" fillId="0" borderId="1" xfId="1" applyFont="1" applyFill="1" applyBorder="1" applyAlignment="1">
      <alignment horizontal="center"/>
    </xf>
    <xf numFmtId="164" fontId="7" fillId="13" borderId="1" xfId="1" applyFont="1" applyFill="1" applyBorder="1" applyAlignment="1">
      <alignment horizontal="center" vertical="center" wrapText="1"/>
    </xf>
    <xf numFmtId="164" fontId="7" fillId="17" borderId="1" xfId="1" applyFont="1" applyFill="1" applyBorder="1" applyAlignment="1">
      <alignment horizontal="center" vertical="center" wrapText="1"/>
    </xf>
    <xf numFmtId="164" fontId="13" fillId="17" borderId="1" xfId="1" applyFont="1" applyFill="1" applyBorder="1"/>
    <xf numFmtId="164" fontId="7" fillId="17" borderId="1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164" fontId="7" fillId="10" borderId="1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vertical="center"/>
    </xf>
    <xf numFmtId="164" fontId="7" fillId="0" borderId="3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/>
    </xf>
    <xf numFmtId="164" fontId="7" fillId="0" borderId="4" xfId="1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164" fontId="7" fillId="0" borderId="5" xfId="1" applyFont="1" applyFill="1" applyBorder="1" applyAlignment="1">
      <alignment vertical="center"/>
    </xf>
    <xf numFmtId="164" fontId="7" fillId="17" borderId="5" xfId="1" applyFont="1" applyFill="1" applyBorder="1" applyAlignment="1">
      <alignment vertical="center"/>
    </xf>
    <xf numFmtId="0" fontId="0" fillId="0" borderId="0" xfId="0" applyBorder="1"/>
    <xf numFmtId="43" fontId="0" fillId="0" borderId="0" xfId="0" applyNumberFormat="1" applyBorder="1"/>
    <xf numFmtId="0" fontId="13" fillId="0" borderId="0" xfId="0" applyFont="1" applyBorder="1" applyAlignment="1">
      <alignment vertical="center" wrapText="1"/>
    </xf>
    <xf numFmtId="2" fontId="7" fillId="17" borderId="5" xfId="2" applyNumberFormat="1" applyFont="1" applyFill="1" applyBorder="1" applyAlignment="1">
      <alignment horizontal="center"/>
    </xf>
    <xf numFmtId="2" fontId="7" fillId="17" borderId="4" xfId="2" applyNumberFormat="1" applyFont="1" applyFill="1" applyBorder="1" applyAlignment="1">
      <alignment horizontal="center"/>
    </xf>
    <xf numFmtId="2" fontId="7" fillId="10" borderId="12" xfId="2" applyNumberFormat="1" applyFont="1" applyFill="1" applyBorder="1" applyAlignment="1">
      <alignment horizontal="center"/>
    </xf>
    <xf numFmtId="2" fontId="15" fillId="14" borderId="12" xfId="2" applyNumberFormat="1" applyFont="1" applyFill="1" applyBorder="1" applyAlignment="1">
      <alignment horizontal="center"/>
    </xf>
    <xf numFmtId="170" fontId="15" fillId="14" borderId="1" xfId="1" applyNumberFormat="1" applyFont="1" applyFill="1" applyBorder="1" applyAlignment="1">
      <alignment horizontal="center" vertical="center" wrapText="1"/>
    </xf>
    <xf numFmtId="2" fontId="7" fillId="14" borderId="12" xfId="2" applyNumberFormat="1" applyFont="1" applyFill="1" applyBorder="1" applyAlignment="1">
      <alignment horizontal="right" wrapText="1"/>
    </xf>
    <xf numFmtId="0" fontId="9" fillId="14" borderId="1" xfId="0" applyFont="1" applyFill="1" applyBorder="1" applyAlignment="1">
      <alignment horizontal="right" wrapText="1"/>
    </xf>
    <xf numFmtId="164" fontId="7" fillId="10" borderId="1" xfId="1" applyFont="1" applyFill="1" applyBorder="1" applyAlignment="1">
      <alignment horizontal="center" vertical="center"/>
    </xf>
    <xf numFmtId="164" fontId="6" fillId="17" borderId="1" xfId="0" applyNumberFormat="1" applyFont="1" applyFill="1" applyBorder="1" applyAlignment="1">
      <alignment horizontal="center"/>
    </xf>
    <xf numFmtId="4" fontId="9" fillId="17" borderId="0" xfId="0" applyNumberFormat="1" applyFont="1" applyFill="1"/>
    <xf numFmtId="4" fontId="9" fillId="17" borderId="0" xfId="0" applyNumberFormat="1" applyFont="1" applyFill="1" applyAlignment="1">
      <alignment horizontal="right"/>
    </xf>
    <xf numFmtId="164" fontId="14" fillId="0" borderId="0" xfId="1" applyFont="1" applyFill="1" applyBorder="1" applyAlignment="1">
      <alignment horizontal="center"/>
    </xf>
    <xf numFmtId="164" fontId="14" fillId="0" borderId="1" xfId="1" applyFont="1" applyFill="1" applyBorder="1" applyAlignment="1">
      <alignment horizontal="center"/>
    </xf>
    <xf numFmtId="164" fontId="9" fillId="17" borderId="1" xfId="1" applyFont="1" applyFill="1" applyBorder="1"/>
    <xf numFmtId="164" fontId="6" fillId="17" borderId="1" xfId="1" applyNumberFormat="1" applyFont="1" applyFill="1" applyBorder="1" applyAlignment="1">
      <alignment horizontal="center" vertical="center" wrapText="1"/>
    </xf>
    <xf numFmtId="164" fontId="7" fillId="10" borderId="1" xfId="1" applyFont="1" applyFill="1" applyBorder="1" applyAlignment="1">
      <alignment vertical="center" wrapText="1"/>
    </xf>
    <xf numFmtId="164" fontId="7" fillId="17" borderId="1" xfId="1" applyFont="1" applyFill="1" applyBorder="1" applyAlignment="1">
      <alignment horizontal="center"/>
    </xf>
    <xf numFmtId="164" fontId="6" fillId="14" borderId="10" xfId="2" applyNumberFormat="1" applyFont="1" applyFill="1" applyBorder="1" applyAlignment="1">
      <alignment horizontal="center"/>
    </xf>
    <xf numFmtId="164" fontId="6" fillId="17" borderId="1" xfId="1" applyFont="1" applyFill="1" applyBorder="1" applyAlignment="1">
      <alignment horizontal="center"/>
    </xf>
    <xf numFmtId="164" fontId="7" fillId="0" borderId="1" xfId="1" applyFont="1" applyFill="1" applyBorder="1" applyAlignment="1">
      <alignment horizontal="right"/>
    </xf>
    <xf numFmtId="164" fontId="7" fillId="0" borderId="4" xfId="1" applyFont="1" applyFill="1" applyBorder="1" applyAlignment="1">
      <alignment horizontal="center"/>
    </xf>
    <xf numFmtId="164" fontId="7" fillId="14" borderId="1" xfId="1" applyFont="1" applyFill="1" applyBorder="1" applyAlignment="1">
      <alignment horizontal="center"/>
    </xf>
    <xf numFmtId="0" fontId="7" fillId="10" borderId="0" xfId="0" applyNumberFormat="1" applyFont="1" applyFill="1" applyBorder="1" applyAlignment="1">
      <alignment wrapText="1"/>
    </xf>
    <xf numFmtId="164" fontId="7" fillId="10" borderId="0" xfId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164" fontId="6" fillId="14" borderId="1" xfId="1" applyFont="1" applyFill="1" applyBorder="1" applyAlignment="1">
      <alignment horizontal="center"/>
    </xf>
    <xf numFmtId="164" fontId="7" fillId="10" borderId="1" xfId="1" applyFont="1" applyFill="1" applyBorder="1" applyAlignment="1">
      <alignment horizontal="right" vertical="center" wrapText="1"/>
    </xf>
    <xf numFmtId="164" fontId="7" fillId="0" borderId="1" xfId="1" applyFont="1" applyFill="1" applyBorder="1" applyAlignment="1">
      <alignment horizontal="right" vertical="center" wrapText="1"/>
    </xf>
    <xf numFmtId="164" fontId="7" fillId="10" borderId="1" xfId="1" applyFont="1" applyFill="1" applyBorder="1" applyAlignment="1">
      <alignment horizontal="right" vertical="center"/>
    </xf>
    <xf numFmtId="164" fontId="6" fillId="14" borderId="1" xfId="1" applyFont="1" applyFill="1" applyBorder="1" applyAlignment="1">
      <alignment horizontal="right" vertical="center" wrapText="1"/>
    </xf>
    <xf numFmtId="164" fontId="16" fillId="18" borderId="0" xfId="0" applyNumberFormat="1" applyFont="1" applyFill="1"/>
    <xf numFmtId="43" fontId="17" fillId="0" borderId="0" xfId="0" applyNumberFormat="1" applyFont="1"/>
    <xf numFmtId="164" fontId="7" fillId="10" borderId="7" xfId="1" applyFont="1" applyFill="1" applyBorder="1" applyAlignment="1">
      <alignment horizontal="center" wrapText="1"/>
    </xf>
    <xf numFmtId="164" fontId="7" fillId="10" borderId="10" xfId="1" applyFont="1" applyFill="1" applyBorder="1" applyAlignment="1">
      <alignment horizontal="center" wrapText="1"/>
    </xf>
    <xf numFmtId="164" fontId="7" fillId="10" borderId="2" xfId="1" applyFont="1" applyFill="1" applyBorder="1" applyAlignment="1">
      <alignment horizontal="center" wrapText="1"/>
    </xf>
    <xf numFmtId="2" fontId="6" fillId="9" borderId="1" xfId="2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2" fontId="6" fillId="9" borderId="1" xfId="2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2" fontId="6" fillId="9" borderId="8" xfId="2" applyNumberFormat="1" applyFont="1" applyFill="1" applyBorder="1" applyAlignment="1">
      <alignment horizontal="center" vertical="center" wrapText="1"/>
    </xf>
    <xf numFmtId="2" fontId="6" fillId="9" borderId="9" xfId="2" applyNumberFormat="1" applyFont="1" applyFill="1" applyBorder="1" applyAlignment="1">
      <alignment horizontal="center" vertical="center" wrapText="1"/>
    </xf>
    <xf numFmtId="2" fontId="6" fillId="9" borderId="4" xfId="2" applyNumberFormat="1" applyFont="1" applyFill="1" applyBorder="1" applyAlignment="1">
      <alignment horizontal="center" vertical="center" wrapText="1"/>
    </xf>
    <xf numFmtId="170" fontId="7" fillId="10" borderId="7" xfId="1" applyNumberFormat="1" applyFont="1" applyFill="1" applyBorder="1" applyAlignment="1">
      <alignment horizontal="center" vertical="center" wrapText="1"/>
    </xf>
    <xf numFmtId="170" fontId="7" fillId="10" borderId="10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2" fontId="6" fillId="9" borderId="7" xfId="2" applyNumberFormat="1" applyFont="1" applyFill="1" applyBorder="1" applyAlignment="1">
      <alignment horizontal="center" vertical="center" wrapText="1"/>
    </xf>
    <xf numFmtId="2" fontId="6" fillId="9" borderId="10" xfId="2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R129"/>
  <sheetViews>
    <sheetView tabSelected="1" topLeftCell="E115" workbookViewId="0">
      <selection activeCell="N122" sqref="N122"/>
    </sheetView>
  </sheetViews>
  <sheetFormatPr defaultRowHeight="15" x14ac:dyDescent="0.25"/>
  <cols>
    <col min="1" max="1" width="4" style="1" customWidth="1"/>
    <col min="2" max="2" width="25.28515625" style="45" customWidth="1"/>
    <col min="3" max="3" width="9.28515625" style="1" customWidth="1"/>
    <col min="4" max="4" width="14.28515625" style="1" customWidth="1"/>
    <col min="5" max="12" width="19.140625" style="1" customWidth="1"/>
    <col min="13" max="13" width="20.85546875" style="1" customWidth="1"/>
    <col min="14" max="24" width="19" style="1" customWidth="1"/>
    <col min="25" max="16384" width="9.140625" style="1"/>
  </cols>
  <sheetData>
    <row r="2" spans="1:14" x14ac:dyDescent="0.25">
      <c r="A2" s="151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x14ac:dyDescent="0.25">
      <c r="A3" s="153" t="s">
        <v>62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4" ht="45" x14ac:dyDescent="0.25">
      <c r="A4" s="11" t="s">
        <v>0</v>
      </c>
      <c r="B4" s="12" t="s">
        <v>1</v>
      </c>
      <c r="C4" s="4" t="s">
        <v>63</v>
      </c>
      <c r="D4" s="4" t="s">
        <v>88</v>
      </c>
      <c r="E4" s="4" t="s">
        <v>86</v>
      </c>
      <c r="F4" s="4" t="s">
        <v>87</v>
      </c>
      <c r="G4" s="4" t="s">
        <v>89</v>
      </c>
      <c r="H4" s="4" t="s">
        <v>90</v>
      </c>
      <c r="I4" s="4" t="s">
        <v>91</v>
      </c>
      <c r="J4" s="4" t="s">
        <v>92</v>
      </c>
      <c r="K4" s="4" t="s">
        <v>93</v>
      </c>
      <c r="L4" s="4" t="s">
        <v>96</v>
      </c>
      <c r="M4" s="4" t="s">
        <v>94</v>
      </c>
    </row>
    <row r="5" spans="1:14" ht="23.25" x14ac:dyDescent="0.25">
      <c r="A5" s="29">
        <v>1</v>
      </c>
      <c r="B5" s="16" t="s">
        <v>2</v>
      </c>
      <c r="C5" s="40">
        <f>3.542*2.4</f>
        <v>8.5007999999999999</v>
      </c>
      <c r="D5" s="40">
        <v>0</v>
      </c>
      <c r="E5" s="88">
        <v>939.2</v>
      </c>
      <c r="F5" s="87">
        <v>7376</v>
      </c>
      <c r="G5" s="87">
        <v>0</v>
      </c>
      <c r="H5" s="87">
        <f>F5+G5-E5*3</f>
        <v>4558.3999999999996</v>
      </c>
      <c r="I5" s="87">
        <f>H5/E5</f>
        <v>4.8534923339011922</v>
      </c>
      <c r="J5" s="87">
        <f>E5*12</f>
        <v>11270.400000000001</v>
      </c>
      <c r="K5" s="87">
        <f>E5*(15-I5)</f>
        <v>9529.6</v>
      </c>
      <c r="L5" s="87">
        <v>9600</v>
      </c>
      <c r="M5" s="87">
        <f>L5*C5</f>
        <v>81607.679999999993</v>
      </c>
    </row>
    <row r="6" spans="1:14" ht="34.5" x14ac:dyDescent="0.25">
      <c r="A6" s="29">
        <v>2</v>
      </c>
      <c r="B6" s="16" t="s">
        <v>3</v>
      </c>
      <c r="C6" s="40">
        <f>3.542*2.4</f>
        <v>8.5007999999999999</v>
      </c>
      <c r="D6" s="40">
        <v>0</v>
      </c>
      <c r="E6" s="88">
        <v>699</v>
      </c>
      <c r="F6" s="88">
        <v>3623</v>
      </c>
      <c r="G6" s="87">
        <v>0</v>
      </c>
      <c r="H6" s="87">
        <f>F6+G6-E6*3</f>
        <v>1526</v>
      </c>
      <c r="I6" s="87">
        <f>H6/E6</f>
        <v>2.1831187410586552</v>
      </c>
      <c r="J6" s="87">
        <f>E6*12</f>
        <v>8388</v>
      </c>
      <c r="K6" s="87">
        <f>E6*(15-I6)</f>
        <v>8959</v>
      </c>
      <c r="L6" s="87">
        <v>9000</v>
      </c>
      <c r="M6" s="87">
        <f>L6*C6</f>
        <v>76507.199999999997</v>
      </c>
    </row>
    <row r="7" spans="1:14" s="59" customFormat="1" x14ac:dyDescent="0.25">
      <c r="A7" s="57">
        <v>3</v>
      </c>
      <c r="B7" s="58" t="s">
        <v>4</v>
      </c>
      <c r="C7" s="89">
        <f>17.24*2.4</f>
        <v>41.375999999999998</v>
      </c>
      <c r="D7" s="89">
        <v>900</v>
      </c>
      <c r="E7" s="88">
        <v>89.3</v>
      </c>
      <c r="F7" s="87">
        <v>799</v>
      </c>
      <c r="G7" s="87">
        <v>0</v>
      </c>
      <c r="H7" s="87">
        <f t="shared" ref="H7:H12" si="0">F7+G7-E7*3</f>
        <v>531.1</v>
      </c>
      <c r="I7" s="87">
        <f t="shared" ref="I7:I12" si="1">H7/E7</f>
        <v>5.9473684210526319</v>
      </c>
      <c r="J7" s="87">
        <f t="shared" ref="J7:J12" si="2">E7*12</f>
        <v>1071.5999999999999</v>
      </c>
      <c r="K7" s="87">
        <f t="shared" ref="K7:K9" si="3">E7*(15-I7)</f>
        <v>808.4</v>
      </c>
      <c r="L7" s="87">
        <v>800</v>
      </c>
      <c r="M7" s="87">
        <f t="shared" ref="M7:M10" si="4">L7*C7</f>
        <v>33100.799999999996</v>
      </c>
    </row>
    <row r="8" spans="1:14" ht="34.5" x14ac:dyDescent="0.25">
      <c r="A8" s="29">
        <v>4</v>
      </c>
      <c r="B8" s="15" t="s">
        <v>5</v>
      </c>
      <c r="C8" s="40">
        <f>11*2.4</f>
        <v>26.4</v>
      </c>
      <c r="D8" s="34">
        <v>3500</v>
      </c>
      <c r="E8" s="88">
        <v>293.39999999999998</v>
      </c>
      <c r="F8" s="88">
        <v>2102</v>
      </c>
      <c r="G8" s="87">
        <v>0</v>
      </c>
      <c r="H8" s="87">
        <f t="shared" si="0"/>
        <v>1221.8000000000002</v>
      </c>
      <c r="I8" s="87">
        <f t="shared" si="1"/>
        <v>4.1642808452624411</v>
      </c>
      <c r="J8" s="87">
        <f t="shared" si="2"/>
        <v>3520.7999999999997</v>
      </c>
      <c r="K8" s="87">
        <f t="shared" si="3"/>
        <v>3179.1999999999994</v>
      </c>
      <c r="L8" s="87">
        <v>3200</v>
      </c>
      <c r="M8" s="87">
        <f t="shared" si="4"/>
        <v>84480</v>
      </c>
    </row>
    <row r="9" spans="1:14" ht="34.5" x14ac:dyDescent="0.25">
      <c r="A9" s="29">
        <v>5</v>
      </c>
      <c r="B9" s="15" t="s">
        <v>7</v>
      </c>
      <c r="C9" s="40">
        <f>6.6*2.4</f>
        <v>15.839999999999998</v>
      </c>
      <c r="D9" s="34">
        <v>6750</v>
      </c>
      <c r="E9" s="88">
        <v>539.20000000000005</v>
      </c>
      <c r="F9" s="88">
        <v>6943</v>
      </c>
      <c r="G9" s="87">
        <v>0</v>
      </c>
      <c r="H9" s="87">
        <f t="shared" si="0"/>
        <v>5325.4</v>
      </c>
      <c r="I9" s="87">
        <f t="shared" si="1"/>
        <v>9.8764836795252204</v>
      </c>
      <c r="J9" s="87">
        <f t="shared" si="2"/>
        <v>6470.4000000000005</v>
      </c>
      <c r="K9" s="87">
        <f t="shared" si="3"/>
        <v>2762.6000000000013</v>
      </c>
      <c r="L9" s="87">
        <v>2800</v>
      </c>
      <c r="M9" s="87">
        <f t="shared" si="4"/>
        <v>44351.999999999993</v>
      </c>
    </row>
    <row r="10" spans="1:14" ht="23.25" x14ac:dyDescent="0.25">
      <c r="A10" s="29">
        <v>6</v>
      </c>
      <c r="B10" s="15" t="s">
        <v>6</v>
      </c>
      <c r="C10" s="40">
        <v>35.700000000000003</v>
      </c>
      <c r="D10" s="40">
        <v>600</v>
      </c>
      <c r="E10" s="88">
        <v>35.1</v>
      </c>
      <c r="F10" s="88">
        <v>874</v>
      </c>
      <c r="G10" s="87">
        <v>0</v>
      </c>
      <c r="H10" s="87">
        <f t="shared" si="0"/>
        <v>768.7</v>
      </c>
      <c r="I10" s="87">
        <f t="shared" si="1"/>
        <v>21.900284900284902</v>
      </c>
      <c r="J10" s="87">
        <f t="shared" si="2"/>
        <v>421.20000000000005</v>
      </c>
      <c r="K10" s="87">
        <v>0</v>
      </c>
      <c r="L10" s="87">
        <v>0</v>
      </c>
      <c r="M10" s="87">
        <f t="shared" si="4"/>
        <v>0</v>
      </c>
    </row>
    <row r="11" spans="1:14" ht="23.25" x14ac:dyDescent="0.25">
      <c r="A11" s="29">
        <v>7</v>
      </c>
      <c r="B11" s="23" t="s">
        <v>8</v>
      </c>
      <c r="C11" s="40">
        <v>18.7</v>
      </c>
      <c r="D11" s="40">
        <v>960</v>
      </c>
      <c r="E11" s="88">
        <v>27.6</v>
      </c>
      <c r="F11" s="88">
        <v>358</v>
      </c>
      <c r="G11" s="88">
        <v>360</v>
      </c>
      <c r="H11" s="87">
        <f t="shared" si="0"/>
        <v>635.20000000000005</v>
      </c>
      <c r="I11" s="87">
        <f t="shared" si="1"/>
        <v>23.014492753623188</v>
      </c>
      <c r="J11" s="87">
        <f t="shared" si="2"/>
        <v>331.20000000000005</v>
      </c>
      <c r="K11" s="87">
        <v>400</v>
      </c>
      <c r="L11" s="87">
        <v>400</v>
      </c>
      <c r="M11" s="86"/>
    </row>
    <row r="12" spans="1:14" ht="23.25" x14ac:dyDescent="0.25">
      <c r="A12" s="29">
        <v>8</v>
      </c>
      <c r="B12" s="23" t="s">
        <v>9</v>
      </c>
      <c r="C12" s="40">
        <v>18.7</v>
      </c>
      <c r="D12" s="40">
        <v>1000</v>
      </c>
      <c r="E12" s="88">
        <v>65.099999999999994</v>
      </c>
      <c r="F12" s="88">
        <v>348</v>
      </c>
      <c r="G12" s="88">
        <v>600</v>
      </c>
      <c r="H12" s="87">
        <f t="shared" si="0"/>
        <v>752.7</v>
      </c>
      <c r="I12" s="87">
        <f t="shared" si="1"/>
        <v>11.562211981566822</v>
      </c>
      <c r="J12" s="87">
        <f t="shared" si="2"/>
        <v>781.19999999999993</v>
      </c>
      <c r="K12" s="87">
        <v>400</v>
      </c>
      <c r="L12" s="87">
        <v>400</v>
      </c>
      <c r="M12" s="86"/>
    </row>
    <row r="13" spans="1:14" x14ac:dyDescent="0.25">
      <c r="A13" s="29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4" x14ac:dyDescent="0.25">
      <c r="A14" s="29"/>
      <c r="B14" s="39" t="s">
        <v>48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92">
        <f>M5+M6+M7+M8+M9</f>
        <v>320047.68</v>
      </c>
      <c r="N14" s="33">
        <v>320000</v>
      </c>
    </row>
    <row r="15" spans="1:14" x14ac:dyDescent="0.25">
      <c r="A15" s="153" t="s">
        <v>44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</row>
    <row r="16" spans="1:14" ht="45" x14ac:dyDescent="0.25">
      <c r="A16" s="11" t="s">
        <v>0</v>
      </c>
      <c r="B16" s="12" t="s">
        <v>1</v>
      </c>
      <c r="C16" s="4" t="s">
        <v>63</v>
      </c>
      <c r="D16" s="4" t="s">
        <v>88</v>
      </c>
      <c r="E16" s="4" t="s">
        <v>86</v>
      </c>
      <c r="F16" s="4" t="s">
        <v>87</v>
      </c>
      <c r="G16" s="4" t="s">
        <v>89</v>
      </c>
      <c r="H16" s="4" t="s">
        <v>90</v>
      </c>
      <c r="I16" s="4" t="s">
        <v>91</v>
      </c>
      <c r="J16" s="4" t="s">
        <v>92</v>
      </c>
      <c r="K16" s="4" t="s">
        <v>93</v>
      </c>
      <c r="L16" s="4" t="s">
        <v>96</v>
      </c>
      <c r="M16" s="4" t="s">
        <v>94</v>
      </c>
    </row>
    <row r="17" spans="1:18" ht="23.25" x14ac:dyDescent="0.25">
      <c r="A17" s="29">
        <v>7</v>
      </c>
      <c r="B17" s="16" t="s">
        <v>10</v>
      </c>
      <c r="C17" s="40">
        <f>3.58*2.7</f>
        <v>9.6660000000000004</v>
      </c>
      <c r="D17" s="34">
        <v>378600</v>
      </c>
      <c r="E17" s="88">
        <v>12885.6</v>
      </c>
      <c r="F17" s="88">
        <v>42945</v>
      </c>
      <c r="G17" s="88">
        <v>29745</v>
      </c>
      <c r="H17" s="88">
        <f>F17+G17-E17*3</f>
        <v>34033.199999999997</v>
      </c>
      <c r="I17" s="88">
        <f>H17/E17</f>
        <v>2.6411808530452596</v>
      </c>
      <c r="J17" s="88">
        <f>E17*12</f>
        <v>154627.20000000001</v>
      </c>
      <c r="K17" s="88">
        <v>208230</v>
      </c>
      <c r="L17" s="88">
        <v>208230</v>
      </c>
      <c r="M17" s="88">
        <f>L17*C17</f>
        <v>2012751.1800000002</v>
      </c>
      <c r="O17" s="49"/>
    </row>
    <row r="18" spans="1:18" ht="23.25" x14ac:dyDescent="0.25">
      <c r="A18" s="29">
        <v>8</v>
      </c>
      <c r="B18" s="16" t="s">
        <v>11</v>
      </c>
      <c r="C18" s="40">
        <f>2.5*2.4</f>
        <v>6</v>
      </c>
      <c r="D18" s="34">
        <v>155000</v>
      </c>
      <c r="E18" s="88">
        <v>11553.2</v>
      </c>
      <c r="F18" s="88">
        <v>70508</v>
      </c>
      <c r="G18" s="88">
        <v>0</v>
      </c>
      <c r="H18" s="88">
        <f t="shared" ref="H18:H20" si="5">F18+G18-E18*3</f>
        <v>35848.399999999994</v>
      </c>
      <c r="I18" s="88">
        <f t="shared" ref="I18:I20" si="6">H18/E18</f>
        <v>3.1028978984177535</v>
      </c>
      <c r="J18" s="88">
        <f t="shared" ref="J18:J20" si="7">E18*12</f>
        <v>138638.40000000002</v>
      </c>
      <c r="K18" s="88">
        <f>E18*(15-I18)</f>
        <v>137449.60000000003</v>
      </c>
      <c r="L18" s="88">
        <v>138000</v>
      </c>
      <c r="M18" s="88">
        <f t="shared" ref="M18:M20" si="8">L18*C18</f>
        <v>828000</v>
      </c>
    </row>
    <row r="19" spans="1:18" ht="23.25" x14ac:dyDescent="0.25">
      <c r="A19" s="29">
        <v>9</v>
      </c>
      <c r="B19" s="16" t="s">
        <v>12</v>
      </c>
      <c r="C19" s="40">
        <f>2.5*2.4</f>
        <v>6</v>
      </c>
      <c r="D19" s="34">
        <v>190000</v>
      </c>
      <c r="E19" s="88">
        <v>14354.7</v>
      </c>
      <c r="F19" s="88">
        <v>80309</v>
      </c>
      <c r="G19" s="88">
        <v>0</v>
      </c>
      <c r="H19" s="88">
        <f t="shared" si="5"/>
        <v>37244.899999999994</v>
      </c>
      <c r="I19" s="88">
        <f t="shared" si="6"/>
        <v>2.5946136108730933</v>
      </c>
      <c r="J19" s="88">
        <f t="shared" si="7"/>
        <v>172256.40000000002</v>
      </c>
      <c r="K19" s="88">
        <f>E19*(15-I19)</f>
        <v>178075.6</v>
      </c>
      <c r="L19" s="88">
        <v>180000</v>
      </c>
      <c r="M19" s="88">
        <f t="shared" si="8"/>
        <v>1080000</v>
      </c>
    </row>
    <row r="20" spans="1:18" ht="22.5" x14ac:dyDescent="0.25">
      <c r="A20" s="29">
        <v>10</v>
      </c>
      <c r="B20" s="25" t="s">
        <v>13</v>
      </c>
      <c r="C20" s="40">
        <f>6.22*2.7</f>
        <v>16.794</v>
      </c>
      <c r="D20" s="34">
        <v>396000</v>
      </c>
      <c r="E20" s="88">
        <v>14234.4</v>
      </c>
      <c r="F20" s="88">
        <v>66236</v>
      </c>
      <c r="G20" s="88">
        <v>0</v>
      </c>
      <c r="H20" s="88">
        <f t="shared" si="5"/>
        <v>23532.800000000003</v>
      </c>
      <c r="I20" s="88">
        <f t="shared" si="6"/>
        <v>1.6532344180295624</v>
      </c>
      <c r="J20" s="88">
        <f t="shared" si="7"/>
        <v>170812.79999999999</v>
      </c>
      <c r="K20" s="88">
        <v>213860</v>
      </c>
      <c r="L20" s="88">
        <v>213860</v>
      </c>
      <c r="M20" s="88">
        <f t="shared" si="8"/>
        <v>3591564.8400000003</v>
      </c>
    </row>
    <row r="21" spans="1:18" x14ac:dyDescent="0.25">
      <c r="A21" s="29"/>
      <c r="B21" s="25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8" s="42" customFormat="1" ht="26.25" customHeight="1" x14ac:dyDescent="0.25">
      <c r="A22" s="41"/>
      <c r="B22" s="39" t="s">
        <v>48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91">
        <f>M17+M18+M19+M20</f>
        <v>7512316.0200000005</v>
      </c>
      <c r="N22" s="33">
        <v>7515000</v>
      </c>
    </row>
    <row r="23" spans="1:18" x14ac:dyDescent="0.25">
      <c r="A23" s="142" t="s">
        <v>45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48">
        <f>N14+N22</f>
        <v>7835000</v>
      </c>
    </row>
    <row r="24" spans="1:18" ht="45" x14ac:dyDescent="0.25">
      <c r="A24" s="11" t="s">
        <v>0</v>
      </c>
      <c r="B24" s="12" t="s">
        <v>1</v>
      </c>
      <c r="C24" s="4" t="s">
        <v>63</v>
      </c>
      <c r="D24" s="4" t="s">
        <v>88</v>
      </c>
      <c r="E24" s="4" t="s">
        <v>86</v>
      </c>
      <c r="F24" s="4" t="s">
        <v>87</v>
      </c>
      <c r="G24" s="4" t="s">
        <v>89</v>
      </c>
      <c r="H24" s="4" t="s">
        <v>90</v>
      </c>
      <c r="I24" s="4" t="s">
        <v>91</v>
      </c>
      <c r="J24" s="4" t="s">
        <v>92</v>
      </c>
      <c r="K24" s="4" t="s">
        <v>93</v>
      </c>
      <c r="L24" s="4" t="s">
        <v>96</v>
      </c>
      <c r="M24" s="4" t="s">
        <v>94</v>
      </c>
    </row>
    <row r="25" spans="1:18" x14ac:dyDescent="0.25">
      <c r="A25" s="29">
        <v>1</v>
      </c>
      <c r="B25" s="16" t="s">
        <v>14</v>
      </c>
      <c r="C25" s="40">
        <v>9.5</v>
      </c>
      <c r="D25" s="40">
        <v>10000</v>
      </c>
      <c r="E25" s="88">
        <v>954</v>
      </c>
      <c r="F25" s="88">
        <v>3378</v>
      </c>
      <c r="G25" s="88">
        <v>0</v>
      </c>
      <c r="H25" s="88">
        <f>F25+G25-E25*3</f>
        <v>516</v>
      </c>
      <c r="I25" s="88">
        <f>H25/E25</f>
        <v>0.54088050314465408</v>
      </c>
      <c r="J25" s="88">
        <f>E25*12</f>
        <v>11448</v>
      </c>
      <c r="K25" s="88">
        <f>E25*(15-I25)</f>
        <v>13794</v>
      </c>
      <c r="L25" s="88">
        <f>E25*15</f>
        <v>14310</v>
      </c>
      <c r="M25" s="88">
        <f>L25*C25</f>
        <v>135945</v>
      </c>
    </row>
    <row r="26" spans="1:18" x14ac:dyDescent="0.25">
      <c r="A26" s="29"/>
      <c r="B26" s="16" t="s">
        <v>48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90">
        <v>135945</v>
      </c>
      <c r="N26" s="33">
        <v>135950</v>
      </c>
    </row>
    <row r="27" spans="1:18" ht="35.25" customHeight="1" x14ac:dyDescent="0.25">
      <c r="A27" s="32"/>
      <c r="B27" s="111" t="s">
        <v>49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109">
        <f>M26+M22+M14</f>
        <v>7968308.7000000002</v>
      </c>
      <c r="N27" s="33">
        <f>N14+N22+N26</f>
        <v>7970950</v>
      </c>
    </row>
    <row r="28" spans="1:18" ht="34.5" customHeight="1" x14ac:dyDescent="0.25">
      <c r="A28" s="60"/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8" x14ac:dyDescent="0.25">
      <c r="A29" s="155" t="s">
        <v>66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8" x14ac:dyDescent="0.25">
      <c r="A30" s="145" t="s">
        <v>67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8" ht="45" x14ac:dyDescent="0.25">
      <c r="A31" s="11" t="s">
        <v>0</v>
      </c>
      <c r="B31" s="12" t="s">
        <v>1</v>
      </c>
      <c r="C31" s="4" t="s">
        <v>63</v>
      </c>
      <c r="D31" s="4" t="s">
        <v>88</v>
      </c>
      <c r="E31" s="4" t="s">
        <v>86</v>
      </c>
      <c r="F31" s="4" t="s">
        <v>87</v>
      </c>
      <c r="G31" s="4" t="s">
        <v>89</v>
      </c>
      <c r="H31" s="4" t="s">
        <v>90</v>
      </c>
      <c r="I31" s="4" t="s">
        <v>91</v>
      </c>
      <c r="J31" s="4" t="s">
        <v>92</v>
      </c>
      <c r="K31" s="4" t="s">
        <v>93</v>
      </c>
      <c r="L31" s="4" t="s">
        <v>96</v>
      </c>
      <c r="M31" s="4" t="s">
        <v>94</v>
      </c>
    </row>
    <row r="32" spans="1:18" ht="23.25" x14ac:dyDescent="0.25">
      <c r="A32" s="29">
        <v>1</v>
      </c>
      <c r="B32" s="16" t="s">
        <v>15</v>
      </c>
      <c r="C32" s="93"/>
      <c r="D32" s="93">
        <v>0</v>
      </c>
      <c r="E32" s="137" t="s">
        <v>97</v>
      </c>
      <c r="F32" s="138"/>
      <c r="G32" s="138"/>
      <c r="H32" s="138"/>
      <c r="I32" s="138"/>
      <c r="J32" s="138"/>
      <c r="K32" s="138"/>
      <c r="L32" s="138"/>
      <c r="M32" s="139"/>
      <c r="O32" s="102"/>
      <c r="P32" s="102"/>
      <c r="Q32" s="102"/>
      <c r="R32" s="102"/>
    </row>
    <row r="33" spans="1:18" x14ac:dyDescent="0.25">
      <c r="A33" s="29">
        <v>2</v>
      </c>
      <c r="B33" s="16" t="s">
        <v>16</v>
      </c>
      <c r="C33" s="40">
        <v>0.8</v>
      </c>
      <c r="D33" s="93">
        <v>0</v>
      </c>
      <c r="E33" s="88">
        <v>1662.2</v>
      </c>
      <c r="F33" s="88">
        <v>28890</v>
      </c>
      <c r="G33" s="94">
        <v>0</v>
      </c>
      <c r="H33" s="94">
        <f>F33+G33-E33*3</f>
        <v>23903.4</v>
      </c>
      <c r="I33" s="94">
        <f>H33/E33</f>
        <v>14.380579954277463</v>
      </c>
      <c r="J33" s="94">
        <f>E33*12</f>
        <v>19946.400000000001</v>
      </c>
      <c r="K33" s="94">
        <v>38200</v>
      </c>
      <c r="L33" s="94">
        <v>38200</v>
      </c>
      <c r="M33" s="94">
        <f>L33*C33</f>
        <v>30560</v>
      </c>
      <c r="O33" s="102"/>
      <c r="P33" s="150"/>
      <c r="Q33" s="102"/>
      <c r="R33" s="102"/>
    </row>
    <row r="34" spans="1:18" ht="23.25" x14ac:dyDescent="0.25">
      <c r="A34" s="29">
        <v>3</v>
      </c>
      <c r="B34" s="16" t="s">
        <v>17</v>
      </c>
      <c r="C34" s="40">
        <v>1.3</v>
      </c>
      <c r="D34" s="93">
        <v>0</v>
      </c>
      <c r="E34" s="88">
        <v>3765</v>
      </c>
      <c r="F34" s="88">
        <v>2290</v>
      </c>
      <c r="G34" s="94">
        <v>0</v>
      </c>
      <c r="H34" s="94">
        <f t="shared" ref="H34:H37" si="9">F34+G34-E34*3</f>
        <v>-9005</v>
      </c>
      <c r="I34" s="94">
        <f t="shared" ref="I34:I37" si="10">H34/E34</f>
        <v>-2.3917662682602923</v>
      </c>
      <c r="J34" s="94">
        <f t="shared" ref="J34:J37" si="11">E34*12</f>
        <v>45180</v>
      </c>
      <c r="K34" s="94">
        <v>53900</v>
      </c>
      <c r="L34" s="94">
        <v>53900</v>
      </c>
      <c r="M34" s="94">
        <f t="shared" ref="M34:M37" si="12">L34*C34</f>
        <v>70070</v>
      </c>
      <c r="N34" s="63"/>
      <c r="O34" s="102"/>
      <c r="P34" s="150"/>
      <c r="Q34" s="50"/>
      <c r="R34" s="103"/>
    </row>
    <row r="35" spans="1:18" x14ac:dyDescent="0.25">
      <c r="A35" s="29">
        <v>4</v>
      </c>
      <c r="B35" s="16" t="s">
        <v>18</v>
      </c>
      <c r="C35" s="40">
        <v>2.2000000000000002</v>
      </c>
      <c r="D35" s="93">
        <v>0</v>
      </c>
      <c r="E35" s="88">
        <v>1368.1</v>
      </c>
      <c r="F35" s="88">
        <v>0</v>
      </c>
      <c r="G35" s="94">
        <v>0</v>
      </c>
      <c r="H35" s="94">
        <f t="shared" si="9"/>
        <v>-4104.2999999999993</v>
      </c>
      <c r="I35" s="94">
        <f t="shared" si="10"/>
        <v>-2.9999999999999996</v>
      </c>
      <c r="J35" s="94">
        <f t="shared" si="11"/>
        <v>16417.199999999997</v>
      </c>
      <c r="K35" s="94">
        <v>19100</v>
      </c>
      <c r="L35" s="94">
        <v>19100</v>
      </c>
      <c r="M35" s="94">
        <f t="shared" si="12"/>
        <v>42020</v>
      </c>
      <c r="O35" s="102"/>
      <c r="P35" s="150"/>
      <c r="Q35" s="50"/>
      <c r="R35" s="103"/>
    </row>
    <row r="36" spans="1:18" ht="23.25" x14ac:dyDescent="0.25">
      <c r="A36" s="29">
        <v>5</v>
      </c>
      <c r="B36" s="16" t="s">
        <v>19</v>
      </c>
      <c r="C36" s="40">
        <v>2.94</v>
      </c>
      <c r="D36" s="93">
        <v>0</v>
      </c>
      <c r="E36" s="88">
        <v>265.2</v>
      </c>
      <c r="F36" s="88">
        <v>2190</v>
      </c>
      <c r="G36" s="94">
        <v>0</v>
      </c>
      <c r="H36" s="94">
        <f t="shared" si="9"/>
        <v>1394.4</v>
      </c>
      <c r="I36" s="94">
        <f t="shared" si="10"/>
        <v>5.2579185520362</v>
      </c>
      <c r="J36" s="94">
        <f t="shared" si="11"/>
        <v>3182.3999999999996</v>
      </c>
      <c r="K36" s="94">
        <v>0</v>
      </c>
      <c r="L36" s="94"/>
      <c r="M36" s="94">
        <f t="shared" si="12"/>
        <v>0</v>
      </c>
      <c r="O36" s="102"/>
      <c r="P36" s="104"/>
      <c r="Q36" s="50"/>
      <c r="R36" s="102"/>
    </row>
    <row r="37" spans="1:18" ht="34.5" x14ac:dyDescent="0.25">
      <c r="A37" s="29">
        <v>6</v>
      </c>
      <c r="B37" s="16" t="s">
        <v>55</v>
      </c>
      <c r="C37" s="40">
        <v>0.33749699999999999</v>
      </c>
      <c r="D37" s="40">
        <v>720000</v>
      </c>
      <c r="E37" s="95">
        <v>53257.2</v>
      </c>
      <c r="F37" s="96">
        <v>243410</v>
      </c>
      <c r="G37" s="95">
        <v>209793</v>
      </c>
      <c r="H37" s="94">
        <f t="shared" si="9"/>
        <v>293431.40000000002</v>
      </c>
      <c r="I37" s="94">
        <f t="shared" si="10"/>
        <v>5.5097038522490864</v>
      </c>
      <c r="J37" s="94">
        <f t="shared" si="11"/>
        <v>639086.39999999991</v>
      </c>
      <c r="K37" s="94">
        <f>E37*9.5</f>
        <v>505943.39999999997</v>
      </c>
      <c r="L37" s="94">
        <v>510000</v>
      </c>
      <c r="M37" s="94">
        <f t="shared" si="12"/>
        <v>172123.47</v>
      </c>
      <c r="O37" s="102"/>
      <c r="P37" s="102"/>
      <c r="Q37" s="102"/>
      <c r="R37" s="102"/>
    </row>
    <row r="38" spans="1:18" x14ac:dyDescent="0.25">
      <c r="A38" s="56"/>
      <c r="B38" s="8"/>
      <c r="C38" s="97"/>
      <c r="D38" s="97"/>
      <c r="E38" s="98"/>
      <c r="F38" s="99"/>
      <c r="G38" s="100"/>
      <c r="H38" s="100"/>
      <c r="I38" s="100"/>
      <c r="J38" s="100"/>
      <c r="K38" s="100"/>
      <c r="L38" s="100"/>
      <c r="M38" s="101">
        <f>M33+M34+M35+M37</f>
        <v>314773.46999999997</v>
      </c>
      <c r="N38" s="33"/>
      <c r="O38" s="102"/>
      <c r="P38" s="102"/>
      <c r="Q38" s="102"/>
      <c r="R38" s="102"/>
    </row>
    <row r="39" spans="1:18" x14ac:dyDescent="0.25">
      <c r="A39" s="145" t="s">
        <v>68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1:18" ht="45" x14ac:dyDescent="0.25">
      <c r="A40" s="11" t="s">
        <v>0</v>
      </c>
      <c r="B40" s="12" t="s">
        <v>20</v>
      </c>
      <c r="C40" s="4" t="s">
        <v>63</v>
      </c>
      <c r="D40" s="4" t="s">
        <v>88</v>
      </c>
      <c r="E40" s="4" t="s">
        <v>86</v>
      </c>
      <c r="F40" s="4" t="s">
        <v>87</v>
      </c>
      <c r="G40" s="4" t="s">
        <v>89</v>
      </c>
      <c r="H40" s="4" t="s">
        <v>90</v>
      </c>
      <c r="I40" s="4" t="s">
        <v>91</v>
      </c>
      <c r="J40" s="4" t="s">
        <v>92</v>
      </c>
      <c r="K40" s="4" t="s">
        <v>93</v>
      </c>
      <c r="L40" s="4" t="s">
        <v>96</v>
      </c>
      <c r="M40" s="4" t="s">
        <v>94</v>
      </c>
    </row>
    <row r="41" spans="1:18" ht="34.5" x14ac:dyDescent="0.25">
      <c r="A41" s="29">
        <v>1</v>
      </c>
      <c r="B41" s="16" t="s">
        <v>21</v>
      </c>
      <c r="C41" s="40">
        <v>1.2999999999999999E-2</v>
      </c>
      <c r="D41" s="34">
        <v>42000</v>
      </c>
      <c r="E41" s="88">
        <v>2627.2</v>
      </c>
      <c r="F41" s="88">
        <v>49000</v>
      </c>
      <c r="G41" s="88">
        <v>0</v>
      </c>
      <c r="H41" s="88">
        <f>F41+G41-E41*3</f>
        <v>41118.400000000001</v>
      </c>
      <c r="I41" s="88">
        <f>H41/E41</f>
        <v>15.651035322777103</v>
      </c>
      <c r="J41" s="88">
        <f>E41*12</f>
        <v>31526.399999999998</v>
      </c>
      <c r="K41" s="88">
        <v>0</v>
      </c>
      <c r="L41" s="88"/>
      <c r="M41" s="88">
        <v>0</v>
      </c>
    </row>
    <row r="42" spans="1:18" x14ac:dyDescent="0.25">
      <c r="A42" s="56"/>
      <c r="B42" s="8"/>
      <c r="C42" s="5"/>
      <c r="D42" s="34"/>
      <c r="E42" s="5"/>
      <c r="F42" s="5"/>
      <c r="G42" s="5"/>
      <c r="H42" s="5"/>
      <c r="I42" s="5"/>
      <c r="J42" s="5"/>
      <c r="K42" s="5"/>
      <c r="L42" s="5"/>
      <c r="M42" s="105">
        <v>0</v>
      </c>
    </row>
    <row r="43" spans="1:18" x14ac:dyDescent="0.25">
      <c r="A43" s="145" t="s">
        <v>69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8" ht="45" x14ac:dyDescent="0.25">
      <c r="A44" s="11" t="s">
        <v>0</v>
      </c>
      <c r="B44" s="12" t="s">
        <v>20</v>
      </c>
      <c r="C44" s="4" t="s">
        <v>63</v>
      </c>
      <c r="D44" s="4"/>
      <c r="E44" s="4" t="s">
        <v>86</v>
      </c>
      <c r="F44" s="4" t="s">
        <v>65</v>
      </c>
      <c r="G44" s="4" t="s">
        <v>89</v>
      </c>
      <c r="H44" s="4" t="s">
        <v>90</v>
      </c>
      <c r="I44" s="4" t="s">
        <v>91</v>
      </c>
      <c r="J44" s="4" t="s">
        <v>92</v>
      </c>
      <c r="K44" s="4" t="s">
        <v>93</v>
      </c>
      <c r="L44" s="4" t="s">
        <v>96</v>
      </c>
      <c r="M44" s="4" t="s">
        <v>94</v>
      </c>
    </row>
    <row r="45" spans="1:18" x14ac:dyDescent="0.25">
      <c r="A45" s="29">
        <v>1</v>
      </c>
      <c r="B45" s="16" t="s">
        <v>22</v>
      </c>
      <c r="C45" s="40">
        <v>7.0999999999999994E-2</v>
      </c>
      <c r="D45" s="40">
        <v>54400</v>
      </c>
      <c r="E45" s="87">
        <v>3151.8</v>
      </c>
      <c r="F45" s="87">
        <v>57200</v>
      </c>
      <c r="G45" s="87">
        <v>0</v>
      </c>
      <c r="H45" s="87">
        <f>F45+G45-E45*3</f>
        <v>47744.6</v>
      </c>
      <c r="I45" s="87">
        <f>H45/E45</f>
        <v>15.14835966749159</v>
      </c>
      <c r="J45" s="87">
        <f>E45*12</f>
        <v>37821.600000000006</v>
      </c>
      <c r="K45" s="87">
        <v>0</v>
      </c>
      <c r="L45" s="87"/>
      <c r="M45" s="87">
        <v>0</v>
      </c>
    </row>
    <row r="46" spans="1:18" x14ac:dyDescent="0.25">
      <c r="A46" s="55"/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106">
        <v>0</v>
      </c>
    </row>
    <row r="47" spans="1:18" ht="33.75" customHeight="1" x14ac:dyDescent="0.25">
      <c r="A47" s="66"/>
      <c r="B47" s="110" t="s">
        <v>95</v>
      </c>
      <c r="C47" s="67"/>
      <c r="D47" s="67"/>
      <c r="E47" s="67"/>
      <c r="F47" s="67"/>
      <c r="G47" s="67"/>
      <c r="H47" s="67"/>
      <c r="I47" s="67"/>
      <c r="J47" s="67"/>
      <c r="K47" s="107"/>
      <c r="L47" s="107"/>
      <c r="M47" s="108">
        <f>M46+M42+M38</f>
        <v>314773.46999999997</v>
      </c>
      <c r="N47" s="33">
        <v>315000</v>
      </c>
    </row>
    <row r="48" spans="1:18" x14ac:dyDescent="0.25">
      <c r="A48" s="68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4" x14ac:dyDescent="0.25">
      <c r="A49" s="141" t="s">
        <v>70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</row>
    <row r="50" spans="1:14" x14ac:dyDescent="0.25">
      <c r="A50" s="142" t="s">
        <v>23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</row>
    <row r="51" spans="1:14" ht="45" x14ac:dyDescent="0.25">
      <c r="A51" s="11" t="s">
        <v>0</v>
      </c>
      <c r="B51" s="12" t="s">
        <v>1</v>
      </c>
      <c r="C51" s="4" t="s">
        <v>63</v>
      </c>
      <c r="D51" s="4" t="s">
        <v>88</v>
      </c>
      <c r="E51" s="4" t="s">
        <v>86</v>
      </c>
      <c r="F51" s="4" t="s">
        <v>87</v>
      </c>
      <c r="G51" s="4" t="s">
        <v>89</v>
      </c>
      <c r="H51" s="4" t="s">
        <v>90</v>
      </c>
      <c r="I51" s="4" t="s">
        <v>91</v>
      </c>
      <c r="J51" s="4" t="s">
        <v>92</v>
      </c>
      <c r="K51" s="4" t="s">
        <v>93</v>
      </c>
      <c r="L51" s="4" t="s">
        <v>96</v>
      </c>
      <c r="M51" s="4" t="s">
        <v>94</v>
      </c>
    </row>
    <row r="52" spans="1:14" ht="23.25" x14ac:dyDescent="0.25">
      <c r="A52" s="29">
        <v>1</v>
      </c>
      <c r="B52" s="44" t="s">
        <v>24</v>
      </c>
      <c r="C52" s="40">
        <v>209.05</v>
      </c>
      <c r="D52" s="40">
        <v>210</v>
      </c>
      <c r="E52" s="40">
        <v>14</v>
      </c>
      <c r="F52" s="95">
        <v>218</v>
      </c>
      <c r="G52" s="95">
        <v>0</v>
      </c>
      <c r="H52" s="95">
        <f>F52+G52-E52*3</f>
        <v>176</v>
      </c>
      <c r="I52" s="95">
        <f>H52/E52</f>
        <v>12.571428571428571</v>
      </c>
      <c r="J52" s="95">
        <f>E52*12</f>
        <v>168</v>
      </c>
      <c r="K52" s="112">
        <f>E52*(15-I52)</f>
        <v>34</v>
      </c>
      <c r="L52" s="112">
        <v>70</v>
      </c>
      <c r="M52" s="95">
        <f>L52*C52</f>
        <v>14633.5</v>
      </c>
    </row>
    <row r="53" spans="1:14" x14ac:dyDescent="0.25">
      <c r="M53" s="114">
        <v>14633.5</v>
      </c>
      <c r="N53" s="33">
        <v>15000</v>
      </c>
    </row>
    <row r="54" spans="1:14" x14ac:dyDescent="0.25">
      <c r="A54" s="142" t="s">
        <v>71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</row>
    <row r="55" spans="1:14" ht="45" x14ac:dyDescent="0.25">
      <c r="A55" s="11" t="s">
        <v>0</v>
      </c>
      <c r="B55" s="12" t="s">
        <v>1</v>
      </c>
      <c r="C55" s="4" t="s">
        <v>63</v>
      </c>
      <c r="D55" s="4" t="s">
        <v>88</v>
      </c>
      <c r="E55" s="4" t="s">
        <v>64</v>
      </c>
      <c r="F55" s="4" t="s">
        <v>87</v>
      </c>
      <c r="G55" s="4" t="s">
        <v>89</v>
      </c>
      <c r="H55" s="4" t="s">
        <v>90</v>
      </c>
      <c r="I55" s="4" t="s">
        <v>91</v>
      </c>
      <c r="J55" s="4" t="s">
        <v>92</v>
      </c>
      <c r="K55" s="4" t="s">
        <v>93</v>
      </c>
      <c r="L55" s="4" t="s">
        <v>96</v>
      </c>
      <c r="M55" s="4" t="s">
        <v>94</v>
      </c>
    </row>
    <row r="56" spans="1:14" x14ac:dyDescent="0.25">
      <c r="A56" s="29">
        <v>1</v>
      </c>
      <c r="B56" s="16" t="s">
        <v>25</v>
      </c>
      <c r="C56" s="84">
        <v>0.52900000000000003</v>
      </c>
      <c r="D56" s="54">
        <v>110000</v>
      </c>
      <c r="E56" s="80">
        <v>7642</v>
      </c>
      <c r="F56" s="81">
        <v>26268</v>
      </c>
      <c r="G56" s="81">
        <v>80000</v>
      </c>
      <c r="H56" s="81">
        <f>F56+G56-E56*3</f>
        <v>83342</v>
      </c>
      <c r="I56" s="81">
        <f>H56/E56</f>
        <v>10.905783826223502</v>
      </c>
      <c r="J56" s="81">
        <f>E56*12</f>
        <v>91704</v>
      </c>
      <c r="K56" s="81">
        <f>E56*(15-I56)</f>
        <v>31288</v>
      </c>
      <c r="L56" s="81">
        <v>31500</v>
      </c>
      <c r="M56" s="83">
        <f>L56*C56</f>
        <v>16663.5</v>
      </c>
    </row>
    <row r="57" spans="1:14" x14ac:dyDescent="0.25">
      <c r="A57" s="55"/>
      <c r="B57" s="9"/>
      <c r="C57" s="6"/>
      <c r="D57" s="6"/>
      <c r="E57" s="6"/>
      <c r="F57" s="6"/>
      <c r="G57" s="6"/>
      <c r="H57" s="6"/>
      <c r="I57" s="6"/>
      <c r="J57" s="6"/>
      <c r="K57" s="6"/>
      <c r="L57" s="6"/>
      <c r="M57" s="113">
        <v>16663.5</v>
      </c>
      <c r="N57" s="33">
        <v>17000</v>
      </c>
    </row>
    <row r="58" spans="1:14" x14ac:dyDescent="0.25">
      <c r="A58" s="145" t="s">
        <v>72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</row>
    <row r="59" spans="1:14" ht="45" x14ac:dyDescent="0.25">
      <c r="A59" s="11" t="s">
        <v>0</v>
      </c>
      <c r="B59" s="12" t="s">
        <v>1</v>
      </c>
      <c r="C59" s="4" t="s">
        <v>63</v>
      </c>
      <c r="D59" s="4" t="s">
        <v>88</v>
      </c>
      <c r="E59" s="4" t="s">
        <v>86</v>
      </c>
      <c r="F59" s="4" t="s">
        <v>87</v>
      </c>
      <c r="G59" s="4" t="s">
        <v>89</v>
      </c>
      <c r="H59" s="4" t="s">
        <v>90</v>
      </c>
      <c r="I59" s="4" t="s">
        <v>91</v>
      </c>
      <c r="J59" s="4" t="s">
        <v>92</v>
      </c>
      <c r="K59" s="4" t="s">
        <v>93</v>
      </c>
      <c r="L59" s="4" t="s">
        <v>96</v>
      </c>
      <c r="M59" s="4" t="s">
        <v>94</v>
      </c>
    </row>
    <row r="60" spans="1:14" ht="34.5" x14ac:dyDescent="0.25">
      <c r="A60" s="29"/>
      <c r="B60" s="16" t="s">
        <v>26</v>
      </c>
      <c r="C60" s="40"/>
      <c r="D60" s="40">
        <v>0</v>
      </c>
      <c r="E60" s="88">
        <v>1.87</v>
      </c>
      <c r="F60" s="88">
        <v>306</v>
      </c>
      <c r="G60" s="88">
        <v>0</v>
      </c>
      <c r="H60" s="88">
        <f>F60+G60-E60*3</f>
        <v>300.39</v>
      </c>
      <c r="I60" s="88">
        <f>H60/E60</f>
        <v>160.63636363636363</v>
      </c>
      <c r="J60" s="88">
        <f>E60*12</f>
        <v>22.44</v>
      </c>
      <c r="K60" s="88">
        <f>E60*(15-I60)</f>
        <v>-272.33999999999997</v>
      </c>
      <c r="L60" s="88">
        <v>0</v>
      </c>
      <c r="M60" s="88"/>
    </row>
    <row r="61" spans="1:14" ht="23.25" x14ac:dyDescent="0.25">
      <c r="A61" s="29">
        <v>1</v>
      </c>
      <c r="B61" s="15" t="s">
        <v>27</v>
      </c>
      <c r="C61" s="40">
        <v>73.400000000000006</v>
      </c>
      <c r="D61" s="40">
        <v>4800</v>
      </c>
      <c r="E61" s="88">
        <v>365.2</v>
      </c>
      <c r="F61" s="88">
        <v>852</v>
      </c>
      <c r="G61" s="88">
        <v>2000</v>
      </c>
      <c r="H61" s="88">
        <f t="shared" ref="H61:H63" si="13">F61+G61-E61*3</f>
        <v>1756.4</v>
      </c>
      <c r="I61" s="88">
        <f t="shared" ref="I61:I63" si="14">H61/E61</f>
        <v>4.8094194961664849</v>
      </c>
      <c r="J61" s="88">
        <f t="shared" ref="J61:J63" si="15">E61*12</f>
        <v>4382.3999999999996</v>
      </c>
      <c r="K61" s="88">
        <f t="shared" ref="K61:K63" si="16">E61*(15-I61)</f>
        <v>3721.6</v>
      </c>
      <c r="L61" s="88">
        <v>4000</v>
      </c>
      <c r="M61" s="88">
        <f>L61*C61</f>
        <v>293600</v>
      </c>
    </row>
    <row r="62" spans="1:14" ht="23.25" x14ac:dyDescent="0.25">
      <c r="A62" s="29"/>
      <c r="B62" s="16" t="s">
        <v>28</v>
      </c>
      <c r="C62" s="40"/>
      <c r="D62" s="40">
        <v>0</v>
      </c>
      <c r="E62" s="88">
        <v>5.75</v>
      </c>
      <c r="F62" s="88">
        <v>199</v>
      </c>
      <c r="G62" s="88">
        <v>0</v>
      </c>
      <c r="H62" s="88">
        <f t="shared" si="13"/>
        <v>181.75</v>
      </c>
      <c r="I62" s="88">
        <f t="shared" si="14"/>
        <v>31.608695652173914</v>
      </c>
      <c r="J62" s="88">
        <f t="shared" si="15"/>
        <v>69</v>
      </c>
      <c r="K62" s="88">
        <f t="shared" si="16"/>
        <v>-95.5</v>
      </c>
      <c r="L62" s="88"/>
      <c r="M62" s="88"/>
    </row>
    <row r="63" spans="1:14" ht="23.25" x14ac:dyDescent="0.25">
      <c r="A63" s="29"/>
      <c r="B63" s="16" t="s">
        <v>29</v>
      </c>
      <c r="C63" s="40"/>
      <c r="D63" s="40">
        <v>0</v>
      </c>
      <c r="E63" s="88">
        <v>2688.8</v>
      </c>
      <c r="F63" s="88">
        <v>46300</v>
      </c>
      <c r="G63" s="88">
        <v>0</v>
      </c>
      <c r="H63" s="88">
        <f t="shared" si="13"/>
        <v>38233.599999999999</v>
      </c>
      <c r="I63" s="88">
        <f t="shared" si="14"/>
        <v>14.219577506694435</v>
      </c>
      <c r="J63" s="88">
        <f t="shared" si="15"/>
        <v>32265.600000000002</v>
      </c>
      <c r="K63" s="88">
        <f t="shared" si="16"/>
        <v>2098.4000000000033</v>
      </c>
      <c r="L63" s="88">
        <v>37500</v>
      </c>
      <c r="M63" s="88"/>
    </row>
    <row r="64" spans="1:14" x14ac:dyDescent="0.25">
      <c r="M64" s="115">
        <v>293600</v>
      </c>
      <c r="N64" s="33">
        <v>293600</v>
      </c>
    </row>
    <row r="65" spans="1:14" x14ac:dyDescent="0.25">
      <c r="A65" s="145" t="s">
        <v>73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</row>
    <row r="66" spans="1:14" ht="45" x14ac:dyDescent="0.25">
      <c r="A66" s="2" t="s">
        <v>0</v>
      </c>
      <c r="B66" s="12" t="s">
        <v>1</v>
      </c>
      <c r="C66" s="4" t="s">
        <v>63</v>
      </c>
      <c r="D66" s="4" t="s">
        <v>88</v>
      </c>
      <c r="E66" s="4" t="s">
        <v>86</v>
      </c>
      <c r="F66" s="4" t="s">
        <v>87</v>
      </c>
      <c r="G66" s="4" t="s">
        <v>89</v>
      </c>
      <c r="H66" s="4" t="s">
        <v>90</v>
      </c>
      <c r="I66" s="4" t="s">
        <v>91</v>
      </c>
      <c r="J66" s="4" t="s">
        <v>92</v>
      </c>
      <c r="K66" s="4" t="s">
        <v>93</v>
      </c>
      <c r="L66" s="4" t="s">
        <v>96</v>
      </c>
      <c r="M66" s="4" t="s">
        <v>94</v>
      </c>
    </row>
    <row r="67" spans="1:14" x14ac:dyDescent="0.25">
      <c r="A67" s="7">
        <v>1</v>
      </c>
      <c r="B67" s="16" t="s">
        <v>31</v>
      </c>
      <c r="C67" s="40">
        <v>50.46</v>
      </c>
      <c r="D67" s="40">
        <v>167</v>
      </c>
      <c r="E67" s="88">
        <v>21.274999999999999</v>
      </c>
      <c r="F67" s="88">
        <v>292.02249999999998</v>
      </c>
      <c r="G67" s="88">
        <v>0</v>
      </c>
      <c r="H67" s="88">
        <f>F67+G67-E67*3</f>
        <v>228.19749999999999</v>
      </c>
      <c r="I67" s="88">
        <f>H67/E67</f>
        <v>10.726086956521739</v>
      </c>
      <c r="J67" s="88">
        <f>E67*12</f>
        <v>255.29999999999998</v>
      </c>
      <c r="K67" s="88">
        <f>E67*(15-I67)</f>
        <v>90.927500000000009</v>
      </c>
      <c r="L67" s="88">
        <v>92</v>
      </c>
      <c r="M67" s="88">
        <f>L67*C67</f>
        <v>4642.32</v>
      </c>
    </row>
    <row r="68" spans="1:14" ht="15.75" x14ac:dyDescent="0.3">
      <c r="A68" s="7">
        <v>2</v>
      </c>
      <c r="B68" s="16" t="s">
        <v>30</v>
      </c>
      <c r="C68" s="40">
        <v>87.36</v>
      </c>
      <c r="D68" s="40">
        <v>449</v>
      </c>
      <c r="E68" s="88">
        <v>35.299999999999997</v>
      </c>
      <c r="F68" s="116">
        <v>72.474999999999994</v>
      </c>
      <c r="G68" s="117">
        <v>100</v>
      </c>
      <c r="H68" s="88">
        <f t="shared" ref="H68:H69" si="17">F68+G68-E68*3</f>
        <v>66.575000000000003</v>
      </c>
      <c r="I68" s="88">
        <f t="shared" ref="I68:I69" si="18">H68/E68</f>
        <v>1.8859773371104818</v>
      </c>
      <c r="J68" s="88">
        <f t="shared" ref="J68:J69" si="19">E68*12</f>
        <v>423.59999999999997</v>
      </c>
      <c r="K68" s="88">
        <f t="shared" ref="K68:K69" si="20">E68*(15-I68)</f>
        <v>462.92499999999995</v>
      </c>
      <c r="L68" s="88">
        <v>470</v>
      </c>
      <c r="M68" s="88">
        <f t="shared" ref="M68:M69" si="21">L68*C68</f>
        <v>41059.199999999997</v>
      </c>
    </row>
    <row r="69" spans="1:14" x14ac:dyDescent="0.25">
      <c r="A69" s="7">
        <v>3</v>
      </c>
      <c r="B69" s="16" t="s">
        <v>74</v>
      </c>
      <c r="C69" s="40">
        <v>114.333457</v>
      </c>
      <c r="D69" s="40">
        <v>2237</v>
      </c>
      <c r="E69" s="40">
        <v>240</v>
      </c>
      <c r="F69" s="40">
        <v>719.41</v>
      </c>
      <c r="G69" s="40">
        <v>1097</v>
      </c>
      <c r="H69" s="88">
        <f t="shared" si="17"/>
        <v>1096.4099999999999</v>
      </c>
      <c r="I69" s="88">
        <f t="shared" si="18"/>
        <v>4.5683749999999996</v>
      </c>
      <c r="J69" s="88">
        <f t="shared" si="19"/>
        <v>2880</v>
      </c>
      <c r="K69" s="88">
        <f t="shared" si="20"/>
        <v>2503.59</v>
      </c>
      <c r="L69" s="88">
        <v>2510</v>
      </c>
      <c r="M69" s="88">
        <f t="shared" si="21"/>
        <v>286976.97706999996</v>
      </c>
      <c r="N69" s="49"/>
    </row>
    <row r="70" spans="1:14" x14ac:dyDescent="0.25">
      <c r="A70" s="32"/>
      <c r="B70" s="46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118">
        <f>M67+M68+M69</f>
        <v>332678.49706999998</v>
      </c>
      <c r="N70" s="33">
        <v>333000</v>
      </c>
    </row>
    <row r="71" spans="1:14" x14ac:dyDescent="0.25">
      <c r="A71" s="147" t="s">
        <v>75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</row>
    <row r="72" spans="1:14" ht="45" x14ac:dyDescent="0.25">
      <c r="A72" s="11" t="s">
        <v>0</v>
      </c>
      <c r="B72" s="12" t="s">
        <v>1</v>
      </c>
      <c r="C72" s="4" t="s">
        <v>63</v>
      </c>
      <c r="D72" s="4" t="s">
        <v>88</v>
      </c>
      <c r="E72" s="4" t="s">
        <v>86</v>
      </c>
      <c r="F72" s="4" t="s">
        <v>87</v>
      </c>
      <c r="G72" s="4" t="s">
        <v>89</v>
      </c>
      <c r="H72" s="4" t="s">
        <v>90</v>
      </c>
      <c r="I72" s="4" t="s">
        <v>91</v>
      </c>
      <c r="J72" s="4" t="s">
        <v>92</v>
      </c>
      <c r="K72" s="4" t="s">
        <v>93</v>
      </c>
      <c r="L72" s="4" t="s">
        <v>96</v>
      </c>
      <c r="M72" s="4" t="s">
        <v>94</v>
      </c>
    </row>
    <row r="73" spans="1:14" x14ac:dyDescent="0.25">
      <c r="A73" s="17">
        <v>1</v>
      </c>
      <c r="B73" s="18" t="s">
        <v>32</v>
      </c>
      <c r="C73" s="84">
        <v>0.33</v>
      </c>
      <c r="D73" s="54">
        <v>800000</v>
      </c>
      <c r="E73" s="54">
        <v>95250</v>
      </c>
      <c r="F73" s="54">
        <v>173000</v>
      </c>
      <c r="G73" s="54">
        <v>0</v>
      </c>
      <c r="H73" s="54">
        <f>F73+G73-E73*3</f>
        <v>-112750</v>
      </c>
      <c r="I73" s="54">
        <f>H73/E73</f>
        <v>-1.1837270341207349</v>
      </c>
      <c r="J73" s="53">
        <f>E73*12</f>
        <v>1143000</v>
      </c>
      <c r="K73" s="53">
        <f>E73*(15-I73)</f>
        <v>1541500</v>
      </c>
      <c r="L73" s="53">
        <v>1550000</v>
      </c>
      <c r="M73" s="53">
        <f>L73*C73</f>
        <v>511500</v>
      </c>
    </row>
    <row r="74" spans="1:14" x14ac:dyDescent="0.25">
      <c r="A74" s="19">
        <v>2</v>
      </c>
      <c r="B74" s="22" t="s">
        <v>33</v>
      </c>
      <c r="C74" s="85">
        <v>0.28887000000000002</v>
      </c>
      <c r="D74" s="54">
        <v>7200000</v>
      </c>
      <c r="E74" s="54">
        <v>597500</v>
      </c>
      <c r="F74" s="54">
        <v>1225000</v>
      </c>
      <c r="G74" s="54">
        <v>2000000</v>
      </c>
      <c r="H74" s="54">
        <f t="shared" ref="H74:H78" si="22">F74+G74-E74*3</f>
        <v>1432500</v>
      </c>
      <c r="I74" s="54">
        <f t="shared" ref="I74:I78" si="23">H74/E74</f>
        <v>2.3974895397489542</v>
      </c>
      <c r="J74" s="53">
        <f t="shared" ref="J74:J78" si="24">E74*12</f>
        <v>7170000</v>
      </c>
      <c r="K74" s="53">
        <f t="shared" ref="K74:K78" si="25">E74*(15-I74)</f>
        <v>7530000</v>
      </c>
      <c r="L74" s="53">
        <v>7550000</v>
      </c>
      <c r="M74" s="53">
        <f t="shared" ref="M74:M78" si="26">L74*C74</f>
        <v>2180968.5</v>
      </c>
    </row>
    <row r="75" spans="1:14" ht="23.25" x14ac:dyDescent="0.25">
      <c r="A75" s="17">
        <v>3</v>
      </c>
      <c r="B75" s="20" t="s">
        <v>34</v>
      </c>
      <c r="C75" s="84">
        <v>0.55000000000000004</v>
      </c>
      <c r="D75" s="54">
        <v>220000</v>
      </c>
      <c r="E75" s="54">
        <v>23500</v>
      </c>
      <c r="F75" s="54">
        <v>12500</v>
      </c>
      <c r="G75" s="54">
        <v>0</v>
      </c>
      <c r="H75" s="54">
        <f t="shared" si="22"/>
        <v>-58000</v>
      </c>
      <c r="I75" s="54">
        <f t="shared" si="23"/>
        <v>-2.4680851063829787</v>
      </c>
      <c r="J75" s="53">
        <f t="shared" si="24"/>
        <v>282000</v>
      </c>
      <c r="K75" s="53">
        <f t="shared" si="25"/>
        <v>410500</v>
      </c>
      <c r="L75" s="53">
        <v>410500</v>
      </c>
      <c r="M75" s="53">
        <f t="shared" si="26"/>
        <v>225775.00000000003</v>
      </c>
    </row>
    <row r="76" spans="1:14" x14ac:dyDescent="0.25">
      <c r="A76" s="19">
        <v>4</v>
      </c>
      <c r="B76" s="21" t="s">
        <v>35</v>
      </c>
      <c r="C76" s="85">
        <v>1.7984800000000001</v>
      </c>
      <c r="D76" s="54">
        <v>80000</v>
      </c>
      <c r="E76" s="54">
        <v>9750</v>
      </c>
      <c r="F76" s="54">
        <v>43000</v>
      </c>
      <c r="G76" s="54">
        <v>0</v>
      </c>
      <c r="H76" s="54">
        <f t="shared" si="22"/>
        <v>13750</v>
      </c>
      <c r="I76" s="54">
        <f t="shared" si="23"/>
        <v>1.4102564102564104</v>
      </c>
      <c r="J76" s="53">
        <f t="shared" si="24"/>
        <v>117000</v>
      </c>
      <c r="K76" s="53">
        <f t="shared" si="25"/>
        <v>132500</v>
      </c>
      <c r="L76" s="53">
        <v>100000</v>
      </c>
      <c r="M76" s="53">
        <f t="shared" si="26"/>
        <v>179848</v>
      </c>
    </row>
    <row r="77" spans="1:14" x14ac:dyDescent="0.25">
      <c r="A77" s="17">
        <v>5</v>
      </c>
      <c r="B77" s="16" t="s">
        <v>36</v>
      </c>
      <c r="C77" s="84">
        <f>670*2.4</f>
        <v>1608</v>
      </c>
      <c r="D77" s="54">
        <v>90</v>
      </c>
      <c r="E77" s="82">
        <v>7.5</v>
      </c>
      <c r="F77" s="54">
        <v>16</v>
      </c>
      <c r="G77" s="54">
        <v>0</v>
      </c>
      <c r="H77" s="54">
        <f t="shared" si="22"/>
        <v>-6.5</v>
      </c>
      <c r="I77" s="54">
        <f t="shared" si="23"/>
        <v>-0.8666666666666667</v>
      </c>
      <c r="J77" s="53">
        <f t="shared" si="24"/>
        <v>90</v>
      </c>
      <c r="K77" s="53">
        <f t="shared" si="25"/>
        <v>119</v>
      </c>
      <c r="L77" s="53">
        <v>150</v>
      </c>
      <c r="M77" s="53">
        <f t="shared" si="26"/>
        <v>241200</v>
      </c>
    </row>
    <row r="78" spans="1:14" ht="23.25" x14ac:dyDescent="0.25">
      <c r="A78" s="19">
        <v>6</v>
      </c>
      <c r="B78" s="15" t="s">
        <v>47</v>
      </c>
      <c r="C78" s="84">
        <f>1.1*2.4</f>
        <v>2.64</v>
      </c>
      <c r="D78" s="54">
        <v>200000</v>
      </c>
      <c r="E78" s="82">
        <v>14600</v>
      </c>
      <c r="F78" s="54">
        <v>47500</v>
      </c>
      <c r="G78" s="54">
        <v>0</v>
      </c>
      <c r="H78" s="54">
        <f t="shared" si="22"/>
        <v>3700</v>
      </c>
      <c r="I78" s="54">
        <f t="shared" si="23"/>
        <v>0.25342465753424659</v>
      </c>
      <c r="J78" s="53">
        <f t="shared" si="24"/>
        <v>175200</v>
      </c>
      <c r="K78" s="53">
        <f t="shared" si="25"/>
        <v>215300</v>
      </c>
      <c r="L78" s="53">
        <v>220000</v>
      </c>
      <c r="M78" s="53">
        <f t="shared" si="26"/>
        <v>580800</v>
      </c>
    </row>
    <row r="79" spans="1:14" ht="23.25" x14ac:dyDescent="0.25">
      <c r="A79" s="19">
        <v>7</v>
      </c>
      <c r="B79" s="22" t="s">
        <v>54</v>
      </c>
      <c r="C79" s="148" t="s">
        <v>76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63"/>
    </row>
    <row r="80" spans="1:14" x14ac:dyDescent="0.25">
      <c r="A80" s="29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119">
        <f>M73+M74+M75+M76+M77+M78</f>
        <v>3920091.5</v>
      </c>
      <c r="N80" s="33">
        <v>3920100</v>
      </c>
    </row>
    <row r="81" spans="1:14" x14ac:dyDescent="0.25">
      <c r="A81" s="142" t="s">
        <v>77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</row>
    <row r="82" spans="1:14" ht="45" x14ac:dyDescent="0.25">
      <c r="A82" s="11" t="s">
        <v>0</v>
      </c>
      <c r="B82" s="12" t="s">
        <v>1</v>
      </c>
      <c r="C82" s="4" t="s">
        <v>63</v>
      </c>
      <c r="D82" s="4" t="s">
        <v>88</v>
      </c>
      <c r="E82" s="4" t="s">
        <v>86</v>
      </c>
      <c r="F82" s="4" t="s">
        <v>87</v>
      </c>
      <c r="G82" s="4" t="s">
        <v>89</v>
      </c>
      <c r="H82" s="4" t="s">
        <v>90</v>
      </c>
      <c r="I82" s="4" t="s">
        <v>91</v>
      </c>
      <c r="J82" s="4" t="s">
        <v>92</v>
      </c>
      <c r="K82" s="4" t="s">
        <v>93</v>
      </c>
      <c r="L82" s="4" t="s">
        <v>96</v>
      </c>
      <c r="M82" s="4" t="s">
        <v>94</v>
      </c>
    </row>
    <row r="83" spans="1:14" x14ac:dyDescent="0.25">
      <c r="A83" s="30"/>
      <c r="B83" s="31" t="s">
        <v>56</v>
      </c>
      <c r="C83" s="40">
        <f>200.68*2.4</f>
        <v>481.63200000000001</v>
      </c>
      <c r="D83" s="40">
        <v>585</v>
      </c>
      <c r="E83" s="88">
        <v>47.6</v>
      </c>
      <c r="F83" s="120">
        <v>313</v>
      </c>
      <c r="G83" s="40">
        <v>0</v>
      </c>
      <c r="H83" s="40">
        <f>F83+G83-E83*3</f>
        <v>170.2</v>
      </c>
      <c r="I83" s="40">
        <f>H83/E83</f>
        <v>3.5756302521008401</v>
      </c>
      <c r="J83" s="40">
        <f>E83*12</f>
        <v>571.20000000000005</v>
      </c>
      <c r="K83" s="40">
        <f>E83*(15-I83)</f>
        <v>543.80000000000007</v>
      </c>
      <c r="L83" s="40">
        <v>545</v>
      </c>
      <c r="M83" s="40">
        <f>C83*L83</f>
        <v>262489.44</v>
      </c>
      <c r="N83" s="33"/>
    </row>
    <row r="84" spans="1:14" ht="22.5" x14ac:dyDescent="0.25">
      <c r="A84" s="30"/>
      <c r="B84" s="31" t="s">
        <v>57</v>
      </c>
      <c r="C84" s="40">
        <f>502.1*2.4</f>
        <v>1205.04</v>
      </c>
      <c r="D84" s="40">
        <v>113</v>
      </c>
      <c r="E84" s="88">
        <v>15.4</v>
      </c>
      <c r="F84" s="120">
        <v>114</v>
      </c>
      <c r="G84" s="40">
        <v>0</v>
      </c>
      <c r="H84" s="40">
        <f>F84+G84-E84*3</f>
        <v>67.8</v>
      </c>
      <c r="I84" s="40">
        <f t="shared" ref="I84:I86" si="27">H84/E84</f>
        <v>4.4025974025974026</v>
      </c>
      <c r="J84" s="40">
        <f t="shared" ref="J84:J86" si="28">E84*12</f>
        <v>184.8</v>
      </c>
      <c r="K84" s="40">
        <f t="shared" ref="K84:K86" si="29">E84*(15-I84)</f>
        <v>163.20000000000002</v>
      </c>
      <c r="L84" s="40">
        <v>165</v>
      </c>
      <c r="M84" s="40">
        <f t="shared" ref="M84:M86" si="30">C84*L84</f>
        <v>198831.6</v>
      </c>
      <c r="N84" s="33"/>
    </row>
    <row r="85" spans="1:14" x14ac:dyDescent="0.25">
      <c r="A85" s="30"/>
      <c r="B85" s="31" t="s">
        <v>43</v>
      </c>
      <c r="C85" s="40">
        <v>254</v>
      </c>
      <c r="D85" s="40">
        <v>204</v>
      </c>
      <c r="E85" s="88">
        <v>12</v>
      </c>
      <c r="F85" s="99">
        <v>132</v>
      </c>
      <c r="G85" s="40">
        <v>0</v>
      </c>
      <c r="H85" s="40">
        <f t="shared" ref="H85:H86" si="31">F85+G85-E85*3</f>
        <v>96</v>
      </c>
      <c r="I85" s="40">
        <f t="shared" si="27"/>
        <v>8</v>
      </c>
      <c r="J85" s="40">
        <f t="shared" si="28"/>
        <v>144</v>
      </c>
      <c r="K85" s="40">
        <f t="shared" si="29"/>
        <v>84</v>
      </c>
      <c r="L85" s="40">
        <v>150</v>
      </c>
      <c r="M85" s="40">
        <f t="shared" si="30"/>
        <v>38100</v>
      </c>
      <c r="N85" s="33"/>
    </row>
    <row r="86" spans="1:14" x14ac:dyDescent="0.25">
      <c r="A86" s="30"/>
      <c r="B86" s="31" t="s">
        <v>53</v>
      </c>
      <c r="C86" s="40">
        <v>502.05</v>
      </c>
      <c r="D86" s="40">
        <v>20</v>
      </c>
      <c r="E86" s="88">
        <v>13.3</v>
      </c>
      <c r="F86" s="99">
        <v>4</v>
      </c>
      <c r="G86" s="40">
        <v>0</v>
      </c>
      <c r="H86" s="40">
        <f t="shared" si="31"/>
        <v>-35.900000000000006</v>
      </c>
      <c r="I86" s="40">
        <f t="shared" si="27"/>
        <v>-2.6992481203007523</v>
      </c>
      <c r="J86" s="40">
        <f t="shared" si="28"/>
        <v>159.60000000000002</v>
      </c>
      <c r="K86" s="40">
        <f t="shared" si="29"/>
        <v>235.4</v>
      </c>
      <c r="L86" s="40">
        <v>240</v>
      </c>
      <c r="M86" s="40">
        <f t="shared" si="30"/>
        <v>120492</v>
      </c>
      <c r="N86" s="33"/>
    </row>
    <row r="87" spans="1:14" x14ac:dyDescent="0.25">
      <c r="A87" s="29"/>
      <c r="B87" s="16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90">
        <f>M83+M84+M85+M86</f>
        <v>619913.04</v>
      </c>
      <c r="N87" s="33">
        <v>620000</v>
      </c>
    </row>
    <row r="88" spans="1:14" x14ac:dyDescent="0.25">
      <c r="A88" s="142" t="s">
        <v>78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</row>
    <row r="89" spans="1:14" ht="45" x14ac:dyDescent="0.25">
      <c r="A89" s="11" t="s">
        <v>0</v>
      </c>
      <c r="B89" s="12" t="s">
        <v>1</v>
      </c>
      <c r="C89" s="4" t="s">
        <v>63</v>
      </c>
      <c r="D89" s="4" t="s">
        <v>88</v>
      </c>
      <c r="E89" s="4" t="s">
        <v>86</v>
      </c>
      <c r="F89" s="4" t="s">
        <v>87</v>
      </c>
      <c r="G89" s="4" t="s">
        <v>89</v>
      </c>
      <c r="H89" s="4" t="s">
        <v>90</v>
      </c>
      <c r="I89" s="4" t="s">
        <v>91</v>
      </c>
      <c r="J89" s="4" t="s">
        <v>92</v>
      </c>
      <c r="K89" s="4" t="s">
        <v>93</v>
      </c>
      <c r="L89" s="4" t="s">
        <v>96</v>
      </c>
      <c r="M89" s="4" t="s">
        <v>94</v>
      </c>
    </row>
    <row r="90" spans="1:14" x14ac:dyDescent="0.25">
      <c r="A90" s="29"/>
      <c r="B90" s="16" t="s">
        <v>50</v>
      </c>
      <c r="C90" s="40">
        <v>46.594999999999999</v>
      </c>
      <c r="D90" s="40">
        <v>4700</v>
      </c>
      <c r="E90" s="88">
        <v>347.1</v>
      </c>
      <c r="F90" s="88">
        <v>6415</v>
      </c>
      <c r="G90" s="88">
        <v>0</v>
      </c>
      <c r="H90" s="88">
        <f>F90+G90-E90*3</f>
        <v>5373.7</v>
      </c>
      <c r="I90" s="88">
        <f>H90/E90</f>
        <v>15.481705560357245</v>
      </c>
      <c r="J90" s="88">
        <f>E90*12</f>
        <v>4165.2000000000007</v>
      </c>
      <c r="K90" s="88">
        <f>E90*(15-I90)</f>
        <v>-167.1999999999997</v>
      </c>
      <c r="L90" s="88">
        <v>2100</v>
      </c>
      <c r="M90" s="88">
        <f>L90*C90</f>
        <v>97849.5</v>
      </c>
      <c r="N90" s="63"/>
    </row>
    <row r="91" spans="1:14" x14ac:dyDescent="0.25">
      <c r="A91" s="29"/>
      <c r="B91" s="16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123">
        <v>97849.5</v>
      </c>
      <c r="N91" s="33">
        <v>97900</v>
      </c>
    </row>
    <row r="92" spans="1:14" x14ac:dyDescent="0.25">
      <c r="A92" s="7"/>
      <c r="B92" s="51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22">
        <f>M91+M87+M80+M70+M64+M57+M53</f>
        <v>5295429.5370699996</v>
      </c>
      <c r="N92" s="33">
        <f>N53+N57+N64+N70+N80+N87+N91</f>
        <v>5296600</v>
      </c>
    </row>
    <row r="93" spans="1:14" x14ac:dyDescent="0.25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4" x14ac:dyDescent="0.25">
      <c r="A94" s="141" t="s">
        <v>79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</row>
    <row r="95" spans="1:14" x14ac:dyDescent="0.25">
      <c r="A95" s="142" t="s">
        <v>80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</row>
    <row r="96" spans="1:14" ht="45" x14ac:dyDescent="0.25">
      <c r="A96" s="11" t="s">
        <v>0</v>
      </c>
      <c r="B96" s="12" t="s">
        <v>1</v>
      </c>
      <c r="C96" s="4" t="s">
        <v>63</v>
      </c>
      <c r="D96" s="4" t="s">
        <v>88</v>
      </c>
      <c r="E96" s="4" t="s">
        <v>86</v>
      </c>
      <c r="F96" s="4" t="s">
        <v>87</v>
      </c>
      <c r="G96" s="4" t="s">
        <v>89</v>
      </c>
      <c r="H96" s="4" t="s">
        <v>90</v>
      </c>
      <c r="I96" s="4" t="s">
        <v>91</v>
      </c>
      <c r="J96" s="4" t="s">
        <v>92</v>
      </c>
      <c r="K96" s="4" t="s">
        <v>93</v>
      </c>
      <c r="L96" s="4" t="s">
        <v>96</v>
      </c>
      <c r="M96" s="4" t="s">
        <v>94</v>
      </c>
    </row>
    <row r="97" spans="1:14" ht="22.5" x14ac:dyDescent="0.25">
      <c r="A97" s="11">
        <v>1</v>
      </c>
      <c r="B97" s="14" t="s">
        <v>58</v>
      </c>
      <c r="C97" s="40">
        <v>1.984</v>
      </c>
      <c r="D97" s="40">
        <v>32500</v>
      </c>
      <c r="E97" s="40">
        <v>3300.4</v>
      </c>
      <c r="F97" s="88">
        <v>4087</v>
      </c>
      <c r="G97" s="88">
        <v>0</v>
      </c>
      <c r="H97" s="88">
        <f>F97+G97-E97*3</f>
        <v>-5814.2000000000007</v>
      </c>
      <c r="I97" s="88">
        <f>H97/E97</f>
        <v>-1.761665252696643</v>
      </c>
      <c r="J97" s="88">
        <f>E97*12</f>
        <v>39604.800000000003</v>
      </c>
      <c r="K97" s="88">
        <f>E97*(15-I97)</f>
        <v>55320.200000000004</v>
      </c>
      <c r="L97" s="88">
        <v>55400</v>
      </c>
      <c r="M97" s="88">
        <f>L97*C97</f>
        <v>109913.60000000001</v>
      </c>
      <c r="N97" s="143"/>
    </row>
    <row r="98" spans="1:14" ht="22.5" x14ac:dyDescent="0.25">
      <c r="A98" s="11">
        <v>2</v>
      </c>
      <c r="B98" s="14" t="s">
        <v>59</v>
      </c>
      <c r="C98" s="40">
        <v>0.5</v>
      </c>
      <c r="D98" s="40">
        <v>78000</v>
      </c>
      <c r="E98" s="40">
        <v>5092</v>
      </c>
      <c r="F98" s="88">
        <v>28330</v>
      </c>
      <c r="G98" s="88">
        <v>0</v>
      </c>
      <c r="H98" s="88">
        <f t="shared" ref="H98:H103" si="32">F98+G98-E98*3</f>
        <v>13054</v>
      </c>
      <c r="I98" s="88">
        <f t="shared" ref="I98:I103" si="33">H98/E98</f>
        <v>2.5636292223095052</v>
      </c>
      <c r="J98" s="88">
        <f t="shared" ref="J98:J103" si="34">E98*12</f>
        <v>61104</v>
      </c>
      <c r="K98" s="88">
        <f t="shared" ref="K98:K103" si="35">E98*(15-I98)</f>
        <v>63326</v>
      </c>
      <c r="L98" s="88">
        <v>76400</v>
      </c>
      <c r="M98" s="88">
        <f t="shared" ref="M98:M103" si="36">L98*C98</f>
        <v>38200</v>
      </c>
      <c r="N98" s="143"/>
    </row>
    <row r="99" spans="1:14" ht="22.5" x14ac:dyDescent="0.25">
      <c r="A99" s="11">
        <v>3</v>
      </c>
      <c r="B99" s="14" t="s">
        <v>60</v>
      </c>
      <c r="C99" s="40">
        <v>0.97599999999999998</v>
      </c>
      <c r="D99" s="40">
        <v>12000</v>
      </c>
      <c r="E99" s="40">
        <v>2965.4</v>
      </c>
      <c r="F99" s="124">
        <v>0</v>
      </c>
      <c r="G99" s="88">
        <v>0</v>
      </c>
      <c r="H99" s="88">
        <f t="shared" si="32"/>
        <v>-8896.2000000000007</v>
      </c>
      <c r="I99" s="88">
        <f t="shared" si="33"/>
        <v>-3</v>
      </c>
      <c r="J99" s="88">
        <f t="shared" si="34"/>
        <v>35584.800000000003</v>
      </c>
      <c r="K99" s="88">
        <f t="shared" si="35"/>
        <v>53377.200000000004</v>
      </c>
      <c r="L99" s="88">
        <v>53500</v>
      </c>
      <c r="M99" s="88">
        <f t="shared" si="36"/>
        <v>52216</v>
      </c>
      <c r="N99" s="143"/>
    </row>
    <row r="100" spans="1:14" ht="23.25" x14ac:dyDescent="0.25">
      <c r="A100" s="11">
        <v>4</v>
      </c>
      <c r="B100" s="15" t="s">
        <v>46</v>
      </c>
      <c r="C100" s="40">
        <f>0.1354*2.4</f>
        <v>0.32495999999999997</v>
      </c>
      <c r="D100" s="40">
        <v>300000</v>
      </c>
      <c r="E100" s="40">
        <v>31215</v>
      </c>
      <c r="F100" s="40">
        <v>268233</v>
      </c>
      <c r="G100" s="88">
        <v>0</v>
      </c>
      <c r="H100" s="88">
        <f t="shared" si="32"/>
        <v>174588</v>
      </c>
      <c r="I100" s="88">
        <f t="shared" si="33"/>
        <v>5.5930802498798657</v>
      </c>
      <c r="J100" s="88">
        <f t="shared" si="34"/>
        <v>374580</v>
      </c>
      <c r="K100" s="88">
        <f t="shared" si="35"/>
        <v>293637</v>
      </c>
      <c r="L100" s="88">
        <v>470000</v>
      </c>
      <c r="M100" s="88">
        <f t="shared" si="36"/>
        <v>152731.19999999998</v>
      </c>
    </row>
    <row r="101" spans="1:14" x14ac:dyDescent="0.25">
      <c r="A101" s="11">
        <v>5</v>
      </c>
      <c r="B101" s="16" t="s">
        <v>51</v>
      </c>
      <c r="C101" s="40">
        <v>0.40300000000000002</v>
      </c>
      <c r="D101" s="40">
        <v>88500</v>
      </c>
      <c r="E101" s="40">
        <v>8372.7999999999993</v>
      </c>
      <c r="F101" s="88">
        <v>81733</v>
      </c>
      <c r="G101" s="88">
        <v>0</v>
      </c>
      <c r="H101" s="88">
        <f t="shared" si="32"/>
        <v>56614.600000000006</v>
      </c>
      <c r="I101" s="88">
        <f t="shared" si="33"/>
        <v>6.76172845404166</v>
      </c>
      <c r="J101" s="88">
        <f t="shared" si="34"/>
        <v>100473.59999999999</v>
      </c>
      <c r="K101" s="88">
        <f t="shared" si="35"/>
        <v>68977.399999999994</v>
      </c>
      <c r="L101" s="88">
        <v>70000</v>
      </c>
      <c r="M101" s="88">
        <f t="shared" si="36"/>
        <v>28210</v>
      </c>
    </row>
    <row r="102" spans="1:14" x14ac:dyDescent="0.25">
      <c r="A102" s="11">
        <v>6</v>
      </c>
      <c r="B102" s="16" t="s">
        <v>52</v>
      </c>
      <c r="C102" s="40">
        <v>0.79300000000000004</v>
      </c>
      <c r="D102" s="40">
        <v>300000</v>
      </c>
      <c r="E102" s="40">
        <v>25720</v>
      </c>
      <c r="F102" s="88">
        <v>76567</v>
      </c>
      <c r="G102" s="88">
        <v>60000</v>
      </c>
      <c r="H102" s="88">
        <f t="shared" si="32"/>
        <v>59407</v>
      </c>
      <c r="I102" s="88">
        <f t="shared" si="33"/>
        <v>2.3097589424572318</v>
      </c>
      <c r="J102" s="88">
        <f t="shared" si="34"/>
        <v>308640</v>
      </c>
      <c r="K102" s="88">
        <f t="shared" si="35"/>
        <v>326393</v>
      </c>
      <c r="L102" s="88">
        <v>330000</v>
      </c>
      <c r="M102" s="88">
        <f t="shared" si="36"/>
        <v>261690</v>
      </c>
    </row>
    <row r="103" spans="1:14" x14ac:dyDescent="0.25">
      <c r="A103" s="11">
        <v>7</v>
      </c>
      <c r="B103" s="15" t="s">
        <v>40</v>
      </c>
      <c r="C103" s="40">
        <v>2.9587500000000002</v>
      </c>
      <c r="D103" s="40">
        <v>32160</v>
      </c>
      <c r="E103" s="88">
        <v>2783.3</v>
      </c>
      <c r="F103" s="40">
        <v>7204</v>
      </c>
      <c r="G103" s="40">
        <v>0</v>
      </c>
      <c r="H103" s="88">
        <f t="shared" si="32"/>
        <v>-1145.9000000000015</v>
      </c>
      <c r="I103" s="88">
        <f t="shared" si="33"/>
        <v>-0.4117055294075383</v>
      </c>
      <c r="J103" s="88">
        <f t="shared" si="34"/>
        <v>33399.600000000006</v>
      </c>
      <c r="K103" s="88">
        <f t="shared" si="35"/>
        <v>42895.4</v>
      </c>
      <c r="L103" s="88">
        <v>43000</v>
      </c>
      <c r="M103" s="88">
        <f t="shared" si="36"/>
        <v>127226.25000000001</v>
      </c>
    </row>
    <row r="104" spans="1:14" x14ac:dyDescent="0.25">
      <c r="A104" s="11"/>
      <c r="B104" s="3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121">
        <f>M97+M98+M99+M100+M101+M102+M103</f>
        <v>770187.05</v>
      </c>
      <c r="N104" s="33"/>
    </row>
    <row r="105" spans="1:14" x14ac:dyDescent="0.25">
      <c r="A105" s="11"/>
      <c r="B105" s="64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6">
        <v>770187.05</v>
      </c>
      <c r="N105" s="33">
        <v>770200</v>
      </c>
    </row>
    <row r="106" spans="1:14" x14ac:dyDescent="0.25">
      <c r="A106" s="74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</row>
    <row r="107" spans="1:14" x14ac:dyDescent="0.25">
      <c r="A107" s="141" t="s">
        <v>81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</row>
    <row r="108" spans="1:14" x14ac:dyDescent="0.25">
      <c r="A108" s="144" t="s">
        <v>82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</row>
    <row r="109" spans="1:14" ht="45" x14ac:dyDescent="0.25">
      <c r="A109" s="11" t="s">
        <v>0</v>
      </c>
      <c r="B109" s="12" t="s">
        <v>1</v>
      </c>
      <c r="C109" s="4" t="s">
        <v>63</v>
      </c>
      <c r="D109" s="4" t="s">
        <v>88</v>
      </c>
      <c r="E109" s="4" t="s">
        <v>86</v>
      </c>
      <c r="F109" s="4" t="s">
        <v>87</v>
      </c>
      <c r="G109" s="4" t="s">
        <v>89</v>
      </c>
      <c r="H109" s="4" t="s">
        <v>90</v>
      </c>
      <c r="I109" s="4" t="s">
        <v>91</v>
      </c>
      <c r="J109" s="4" t="s">
        <v>92</v>
      </c>
      <c r="K109" s="4" t="s">
        <v>93</v>
      </c>
      <c r="L109" s="4" t="s">
        <v>96</v>
      </c>
      <c r="M109" s="4" t="s">
        <v>94</v>
      </c>
    </row>
    <row r="110" spans="1:14" ht="23.25" x14ac:dyDescent="0.25">
      <c r="A110" s="13">
        <v>1</v>
      </c>
      <c r="B110" s="26" t="s">
        <v>41</v>
      </c>
      <c r="C110" s="40">
        <v>1.3319703E-2</v>
      </c>
      <c r="D110" s="40">
        <v>1701390</v>
      </c>
      <c r="E110" s="40">
        <v>49214</v>
      </c>
      <c r="F110" s="88">
        <v>74648</v>
      </c>
      <c r="G110" s="88">
        <v>0</v>
      </c>
      <c r="H110" s="88">
        <f>F110+G110-E110*3</f>
        <v>-72994</v>
      </c>
      <c r="I110" s="88">
        <f>H110/E110</f>
        <v>-1.4831958385825172</v>
      </c>
      <c r="J110" s="88">
        <f>E110*12</f>
        <v>590568</v>
      </c>
      <c r="K110" s="88">
        <f>E110*15</f>
        <v>738210</v>
      </c>
      <c r="L110" s="88">
        <v>750000</v>
      </c>
      <c r="M110" s="88">
        <f>L110*C110</f>
        <v>9989.777250000001</v>
      </c>
      <c r="N110" s="63"/>
    </row>
    <row r="111" spans="1:14" ht="23.25" x14ac:dyDescent="0.25">
      <c r="A111" s="13">
        <v>2</v>
      </c>
      <c r="B111" s="27" t="s">
        <v>42</v>
      </c>
      <c r="C111" s="40">
        <v>0.1512</v>
      </c>
      <c r="D111" s="40">
        <v>75000</v>
      </c>
      <c r="E111" s="40">
        <v>5082.7</v>
      </c>
      <c r="F111" s="88">
        <v>13660</v>
      </c>
      <c r="G111" s="88">
        <v>15000</v>
      </c>
      <c r="H111" s="88">
        <f>F111+G111-E111*3</f>
        <v>13411.900000000001</v>
      </c>
      <c r="I111" s="88">
        <f t="shared" ref="I111:I112" si="37">H111/E111</f>
        <v>2.6387353178428792</v>
      </c>
      <c r="J111" s="88">
        <f t="shared" ref="J111:J112" si="38">E111*12</f>
        <v>60992.399999999994</v>
      </c>
      <c r="K111" s="88">
        <f>E111*(15-I111)</f>
        <v>62828.599999999991</v>
      </c>
      <c r="L111" s="88">
        <v>65000</v>
      </c>
      <c r="M111" s="88">
        <f t="shared" ref="M111:M112" si="39">L111*C111</f>
        <v>9828</v>
      </c>
    </row>
    <row r="112" spans="1:14" x14ac:dyDescent="0.25">
      <c r="A112" s="13">
        <v>3</v>
      </c>
      <c r="B112" s="27" t="s">
        <v>83</v>
      </c>
      <c r="C112" s="40">
        <f>2.7*0.646</f>
        <v>1.7442000000000002</v>
      </c>
      <c r="D112" s="40">
        <v>78000</v>
      </c>
      <c r="E112" s="40">
        <v>168</v>
      </c>
      <c r="F112" s="88">
        <v>57480</v>
      </c>
      <c r="G112" s="88">
        <v>0</v>
      </c>
      <c r="H112" s="88">
        <f t="shared" ref="H112" si="40">F112+G112-E112*3</f>
        <v>56976</v>
      </c>
      <c r="I112" s="88">
        <f t="shared" si="37"/>
        <v>339.14285714285717</v>
      </c>
      <c r="J112" s="88">
        <f t="shared" si="38"/>
        <v>2016</v>
      </c>
      <c r="K112" s="88">
        <v>78000</v>
      </c>
      <c r="L112" s="88">
        <v>78000</v>
      </c>
      <c r="M112" s="88">
        <f t="shared" si="39"/>
        <v>136047.6</v>
      </c>
    </row>
    <row r="113" spans="1:14" x14ac:dyDescent="0.25">
      <c r="A113" s="10"/>
      <c r="B113" s="127"/>
      <c r="C113" s="128"/>
      <c r="D113" s="128"/>
      <c r="E113" s="128"/>
      <c r="F113" s="129"/>
      <c r="G113" s="129"/>
      <c r="H113" s="129"/>
      <c r="I113" s="129"/>
      <c r="J113" s="129"/>
      <c r="K113" s="129"/>
      <c r="L113" s="129"/>
      <c r="M113" s="121">
        <f>SUM(M110:M112)</f>
        <v>155865.37725000002</v>
      </c>
    </row>
    <row r="114" spans="1:14" x14ac:dyDescent="0.25"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130">
        <v>155865.38</v>
      </c>
      <c r="N114" s="33">
        <v>155900</v>
      </c>
    </row>
    <row r="115" spans="1:14" x14ac:dyDescent="0.25">
      <c r="A115" s="77"/>
      <c r="B115" s="78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4" x14ac:dyDescent="0.25">
      <c r="A116" s="141" t="s">
        <v>84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</row>
    <row r="117" spans="1:14" x14ac:dyDescent="0.25">
      <c r="A117" s="140" t="s">
        <v>85</v>
      </c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</row>
    <row r="118" spans="1:14" ht="45" x14ac:dyDescent="0.25">
      <c r="A118" s="11" t="s">
        <v>0</v>
      </c>
      <c r="B118" s="12" t="s">
        <v>1</v>
      </c>
      <c r="C118" s="4" t="s">
        <v>63</v>
      </c>
      <c r="D118" s="4" t="s">
        <v>88</v>
      </c>
      <c r="E118" s="4" t="s">
        <v>86</v>
      </c>
      <c r="F118" s="4" t="s">
        <v>87</v>
      </c>
      <c r="G118" s="4" t="s">
        <v>89</v>
      </c>
      <c r="H118" s="4" t="s">
        <v>90</v>
      </c>
      <c r="I118" s="4" t="s">
        <v>91</v>
      </c>
      <c r="J118" s="4" t="s">
        <v>92</v>
      </c>
      <c r="K118" s="4" t="s">
        <v>93</v>
      </c>
      <c r="L118" s="4" t="s">
        <v>96</v>
      </c>
      <c r="M118" s="4" t="s">
        <v>94</v>
      </c>
    </row>
    <row r="119" spans="1:14" ht="23.25" x14ac:dyDescent="0.25">
      <c r="A119" s="29">
        <v>1</v>
      </c>
      <c r="B119" s="16" t="s">
        <v>37</v>
      </c>
      <c r="C119" s="40">
        <v>4.4640000000000004</v>
      </c>
      <c r="D119" s="40">
        <v>110000</v>
      </c>
      <c r="E119" s="131">
        <v>3644.12</v>
      </c>
      <c r="F119" s="132">
        <v>110200</v>
      </c>
      <c r="G119" s="132">
        <v>0</v>
      </c>
      <c r="H119" s="132">
        <f>F119+G119-E119*3</f>
        <v>99267.64</v>
      </c>
      <c r="I119" s="132">
        <f>H119/E119</f>
        <v>27.240497019856647</v>
      </c>
      <c r="J119" s="132">
        <f>E119*12</f>
        <v>43729.440000000002</v>
      </c>
      <c r="K119" s="132">
        <f>E119*(15-I119)</f>
        <v>-44605.840000000004</v>
      </c>
      <c r="L119" s="132">
        <v>0</v>
      </c>
      <c r="M119" s="132">
        <v>0</v>
      </c>
      <c r="N119" s="42"/>
    </row>
    <row r="120" spans="1:14" ht="23.25" x14ac:dyDescent="0.25">
      <c r="A120" s="29">
        <v>2</v>
      </c>
      <c r="B120" s="16" t="s">
        <v>38</v>
      </c>
      <c r="C120" s="40">
        <v>8.1999999999999993</v>
      </c>
      <c r="D120" s="40">
        <v>25000</v>
      </c>
      <c r="E120" s="133">
        <v>1560.1</v>
      </c>
      <c r="F120" s="133">
        <v>25000</v>
      </c>
      <c r="G120" s="133">
        <v>0</v>
      </c>
      <c r="H120" s="132">
        <f t="shared" ref="H120:H121" si="41">F120+G120-E120*3</f>
        <v>20319.7</v>
      </c>
      <c r="I120" s="132">
        <f t="shared" ref="I120:I121" si="42">H120/E120</f>
        <v>13.024613806807258</v>
      </c>
      <c r="J120" s="132">
        <f t="shared" ref="J120:J121" si="43">E120*12</f>
        <v>18721.199999999997</v>
      </c>
      <c r="K120" s="132">
        <f t="shared" ref="K120:K121" si="44">E120*(15-I120)</f>
        <v>3081.799999999997</v>
      </c>
      <c r="L120" s="132">
        <v>0</v>
      </c>
      <c r="M120" s="132">
        <v>0</v>
      </c>
    </row>
    <row r="121" spans="1:14" ht="23.25" x14ac:dyDescent="0.25">
      <c r="A121" s="29">
        <v>3</v>
      </c>
      <c r="B121" s="16" t="s">
        <v>39</v>
      </c>
      <c r="C121" s="40">
        <f>1.7832*2.7</f>
        <v>4.8146399999999998</v>
      </c>
      <c r="D121" s="40">
        <v>32652</v>
      </c>
      <c r="E121" s="40">
        <v>2390.6</v>
      </c>
      <c r="F121" s="40">
        <v>4815</v>
      </c>
      <c r="G121" s="40">
        <v>12654</v>
      </c>
      <c r="H121" s="132">
        <f t="shared" si="41"/>
        <v>10297.200000000001</v>
      </c>
      <c r="I121" s="132">
        <f t="shared" si="42"/>
        <v>4.3073705345938267</v>
      </c>
      <c r="J121" s="132">
        <f t="shared" si="43"/>
        <v>28687.199999999997</v>
      </c>
      <c r="K121" s="132">
        <f t="shared" si="44"/>
        <v>25561.8</v>
      </c>
      <c r="L121" s="132">
        <v>32600</v>
      </c>
      <c r="M121" s="132">
        <f>L121*C121</f>
        <v>156957.264</v>
      </c>
      <c r="N121" s="79"/>
    </row>
    <row r="122" spans="1:14" s="28" customFormat="1" ht="29.25" customHeight="1" x14ac:dyDescent="0.25">
      <c r="A122" s="43"/>
      <c r="B122" s="47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134">
        <v>156957.26</v>
      </c>
      <c r="N122" s="33">
        <v>157000</v>
      </c>
    </row>
    <row r="123" spans="1:14" x14ac:dyDescent="0.25">
      <c r="A123" s="77"/>
      <c r="B123" s="78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7" spans="1:14" ht="39.75" customHeight="1" x14ac:dyDescent="0.3">
      <c r="I127" s="1" t="s">
        <v>98</v>
      </c>
      <c r="M127" s="135">
        <f>M122+M114+M105+M92+M47+M27</f>
        <v>14661521.39707</v>
      </c>
      <c r="N127" s="136">
        <f>N27+N47+N92+N105+N114+N122</f>
        <v>14665650</v>
      </c>
    </row>
    <row r="129" spans="13:13" x14ac:dyDescent="0.25">
      <c r="M129" s="48"/>
    </row>
  </sheetData>
  <mergeCells count="26">
    <mergeCell ref="A30:M30"/>
    <mergeCell ref="A2:M2"/>
    <mergeCell ref="A3:M3"/>
    <mergeCell ref="A15:M15"/>
    <mergeCell ref="A23:M23"/>
    <mergeCell ref="A29:M29"/>
    <mergeCell ref="P33:P35"/>
    <mergeCell ref="A39:M39"/>
    <mergeCell ref="A43:M43"/>
    <mergeCell ref="A49:M49"/>
    <mergeCell ref="A50:M50"/>
    <mergeCell ref="E32:M32"/>
    <mergeCell ref="A117:M117"/>
    <mergeCell ref="A94:M94"/>
    <mergeCell ref="A95:M95"/>
    <mergeCell ref="N97:N99"/>
    <mergeCell ref="A107:M107"/>
    <mergeCell ref="A108:M108"/>
    <mergeCell ref="A116:M116"/>
    <mergeCell ref="A88:M88"/>
    <mergeCell ref="A54:M54"/>
    <mergeCell ref="A58:M58"/>
    <mergeCell ref="A65:M65"/>
    <mergeCell ref="A71:M71"/>
    <mergeCell ref="C79:M79"/>
    <mergeCell ref="A81:M8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ბიუჯეტი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Ekaterine Adamia</cp:lastModifiedBy>
  <cp:lastPrinted>2016-09-05T13:01:51Z</cp:lastPrinted>
  <dcterms:created xsi:type="dcterms:W3CDTF">2014-10-07T06:00:31Z</dcterms:created>
  <dcterms:modified xsi:type="dcterms:W3CDTF">2016-10-13T11:00:00Z</dcterms:modified>
</cp:coreProperties>
</file>